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【UFO】行政資料夾\3 徵件須知\110-3第三期徵件須知\經費申請表\"/>
    </mc:Choice>
  </mc:AlternateContent>
  <bookViews>
    <workbookView xWindow="0" yWindow="0" windowWidth="12510" windowHeight="11115"/>
  </bookViews>
  <sheets>
    <sheet name="109-2 經費申請表" sheetId="3" r:id="rId1"/>
  </sheets>
  <definedNames>
    <definedName name="_xlnm.Print_Area" localSheetId="0">'109-2 經費申請表'!$B$1:$H$99</definedName>
    <definedName name="_xlnm.Print_Titles" localSheetId="0">'109-2 經費申請表'!$1:$9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G57" i="3"/>
  <c r="I56" i="3"/>
  <c r="G56" i="3"/>
  <c r="I55" i="3"/>
  <c r="G55" i="3"/>
  <c r="I54" i="3"/>
  <c r="G54" i="3"/>
  <c r="I45" i="3"/>
  <c r="I28" i="3" l="1"/>
  <c r="E15" i="3"/>
  <c r="D15" i="3"/>
  <c r="G14" i="3"/>
  <c r="I14" i="3" s="1"/>
  <c r="I15" i="3" s="1"/>
  <c r="G16" i="3"/>
  <c r="I16" i="3" s="1"/>
  <c r="E17" i="3"/>
  <c r="G17" i="3"/>
  <c r="I17" i="3" s="1"/>
  <c r="G15" i="3" l="1"/>
  <c r="D13" i="3"/>
  <c r="D11" i="3"/>
  <c r="I65" i="3" l="1"/>
  <c r="I63" i="3"/>
  <c r="I53" i="3" l="1"/>
  <c r="I52" i="3"/>
  <c r="I48" i="3"/>
  <c r="I46" i="3"/>
  <c r="I47" i="3"/>
  <c r="I44" i="3"/>
  <c r="I43" i="3"/>
  <c r="I42" i="3"/>
  <c r="I37" i="3"/>
  <c r="I36" i="3"/>
  <c r="I35" i="3"/>
  <c r="I33" i="3" l="1"/>
  <c r="I34" i="3"/>
  <c r="I32" i="3"/>
  <c r="E31" i="3"/>
  <c r="I31" i="3" s="1"/>
  <c r="E30" i="3"/>
  <c r="I30" i="3" s="1"/>
  <c r="E29" i="3"/>
  <c r="I29" i="3" s="1"/>
  <c r="E23" i="3"/>
  <c r="G23" i="3" s="1"/>
  <c r="I23" i="3" s="1"/>
  <c r="E19" i="3"/>
  <c r="I19" i="3" s="1"/>
  <c r="E25" i="3"/>
  <c r="I25" i="3" s="1"/>
  <c r="E24" i="3"/>
  <c r="G24" i="3" s="1"/>
  <c r="I24" i="3" s="1"/>
  <c r="E18" i="3"/>
  <c r="I59" i="3"/>
  <c r="E13" i="3"/>
  <c r="G39" i="3"/>
  <c r="G93" i="3"/>
  <c r="G91" i="3"/>
  <c r="G90" i="3"/>
  <c r="G89" i="3"/>
  <c r="G86" i="3"/>
  <c r="G85" i="3"/>
  <c r="G84" i="3"/>
  <c r="G83" i="3"/>
  <c r="G82" i="3"/>
  <c r="G81" i="3"/>
  <c r="G80" i="3"/>
  <c r="I79" i="3"/>
  <c r="G79" i="3"/>
  <c r="I78" i="3"/>
  <c r="G78" i="3"/>
  <c r="I77" i="3"/>
  <c r="G77" i="3"/>
  <c r="I76" i="3"/>
  <c r="G76" i="3"/>
  <c r="I75" i="3"/>
  <c r="G75" i="3"/>
  <c r="I74" i="3"/>
  <c r="G74" i="3"/>
  <c r="I73" i="3"/>
  <c r="G73" i="3"/>
  <c r="I72" i="3"/>
  <c r="G72" i="3"/>
  <c r="I71" i="3"/>
  <c r="G71" i="3"/>
  <c r="I70" i="3"/>
  <c r="G70" i="3"/>
  <c r="I69" i="3"/>
  <c r="G69" i="3"/>
  <c r="I68" i="3"/>
  <c r="G68" i="3"/>
  <c r="I67" i="3"/>
  <c r="G67" i="3"/>
  <c r="I66" i="3"/>
  <c r="G66" i="3"/>
  <c r="G65" i="3"/>
  <c r="I64" i="3"/>
  <c r="G64" i="3"/>
  <c r="G63" i="3"/>
  <c r="I62" i="3"/>
  <c r="G62" i="3"/>
  <c r="I61" i="3"/>
  <c r="G61" i="3"/>
  <c r="I60" i="3"/>
  <c r="G60" i="3"/>
  <c r="G59" i="3"/>
  <c r="I58" i="3"/>
  <c r="G58" i="3"/>
  <c r="G53" i="3"/>
  <c r="G52" i="3"/>
  <c r="I49" i="3"/>
  <c r="G49" i="3"/>
  <c r="G48" i="3"/>
  <c r="G47" i="3"/>
  <c r="G46" i="3"/>
  <c r="G45" i="3"/>
  <c r="G44" i="3"/>
  <c r="G43" i="3"/>
  <c r="G42" i="3"/>
  <c r="G38" i="3"/>
  <c r="G41" i="3" s="1"/>
  <c r="G37" i="3"/>
  <c r="G36" i="3"/>
  <c r="G35" i="3"/>
  <c r="G34" i="3"/>
  <c r="G33" i="3"/>
  <c r="G32" i="3"/>
  <c r="G28" i="3"/>
  <c r="D26" i="3"/>
  <c r="G26" i="3" s="1"/>
  <c r="D27" i="3" s="1"/>
  <c r="G22" i="3"/>
  <c r="I22" i="3" s="1"/>
  <c r="D20" i="3"/>
  <c r="G20" i="3" s="1"/>
  <c r="D21" i="3" s="1"/>
  <c r="G12" i="3"/>
  <c r="I12" i="3" s="1"/>
  <c r="E11" i="3"/>
  <c r="G10" i="3"/>
  <c r="I10" i="3" s="1"/>
  <c r="G25" i="3" l="1"/>
  <c r="I11" i="3"/>
  <c r="G30" i="3"/>
  <c r="G18" i="3"/>
  <c r="I18" i="3" s="1"/>
  <c r="G31" i="3"/>
  <c r="G19" i="3"/>
  <c r="G29" i="3"/>
  <c r="I13" i="3"/>
  <c r="G13" i="3"/>
  <c r="G11" i="3"/>
  <c r="G95" i="3"/>
  <c r="G88" i="3"/>
  <c r="G50" i="3"/>
  <c r="I80" i="3"/>
  <c r="G94" i="3"/>
  <c r="I94" i="3" s="1"/>
  <c r="D50" i="3"/>
  <c r="D51" i="3" s="1"/>
  <c r="G51" i="3" s="1"/>
  <c r="G27" i="3"/>
  <c r="I26" i="3"/>
  <c r="I27" i="3" s="1"/>
  <c r="G21" i="3"/>
  <c r="I20" i="3"/>
  <c r="I21" i="3" s="1"/>
  <c r="G87" i="3" l="1"/>
  <c r="I83" i="3" s="1"/>
  <c r="F97" i="3"/>
  <c r="G40" i="3"/>
  <c r="F96" i="3" l="1"/>
  <c r="I96" i="3" s="1"/>
  <c r="F98" i="3" l="1"/>
  <c r="I99" i="3" s="1"/>
  <c r="I97" i="3"/>
  <c r="F99" i="3" l="1"/>
</calcChain>
</file>

<file path=xl/sharedStrings.xml><?xml version="1.0" encoding="utf-8"?>
<sst xmlns="http://schemas.openxmlformats.org/spreadsheetml/2006/main" count="230" uniqueCount="155">
  <si>
    <t>* 本表僅提供計算金額使用，請勿作為正式核章之版本。</t>
    <phoneticPr fontId="9" type="noConversion"/>
  </si>
  <si>
    <t>經費項目</t>
    <phoneticPr fontId="10" type="noConversion"/>
  </si>
  <si>
    <t>計畫經費明細</t>
  </si>
  <si>
    <t>單價(元)</t>
  </si>
  <si>
    <t>數量</t>
    <phoneticPr fontId="9" type="noConversion"/>
  </si>
  <si>
    <t>單位</t>
    <phoneticPr fontId="9" type="noConversion"/>
  </si>
  <si>
    <t>總價(元)</t>
  </si>
  <si>
    <t>計畫主持人</t>
    <phoneticPr fontId="9" type="noConversion"/>
  </si>
  <si>
    <t>主持費</t>
    <phoneticPr fontId="9" type="noConversion"/>
  </si>
  <si>
    <t>人月</t>
    <phoneticPr fontId="10" type="noConversion"/>
  </si>
  <si>
    <t>補充保費</t>
    <phoneticPr fontId="9" type="noConversion"/>
  </si>
  <si>
    <t>共同主持人</t>
    <phoneticPr fontId="10" type="noConversion"/>
  </si>
  <si>
    <t>主持費</t>
    <phoneticPr fontId="9" type="noConversion"/>
  </si>
  <si>
    <t>人月</t>
    <phoneticPr fontId="10" type="noConversion"/>
  </si>
  <si>
    <t>專任助理(一)</t>
    <phoneticPr fontId="10" type="noConversion"/>
  </si>
  <si>
    <t>薪資</t>
    <phoneticPr fontId="9" type="noConversion"/>
  </si>
  <si>
    <t>人月</t>
    <phoneticPr fontId="10" type="noConversion"/>
  </si>
  <si>
    <t>依校內相關標準(需另檢附資料及工作證明)，學/碩士級第〇年年資敘薪。</t>
    <phoneticPr fontId="10" type="noConversion"/>
  </si>
  <si>
    <t>健保費</t>
    <phoneticPr fontId="9" type="noConversion"/>
  </si>
  <si>
    <t>勞保費</t>
    <phoneticPr fontId="9" type="noConversion"/>
  </si>
  <si>
    <t>勞工退休金或離職儲金(二擇一)</t>
    <phoneticPr fontId="9" type="noConversion"/>
  </si>
  <si>
    <t>人月</t>
    <phoneticPr fontId="10" type="noConversion"/>
  </si>
  <si>
    <t>年終獎金</t>
    <phoneticPr fontId="9" type="noConversion"/>
  </si>
  <si>
    <t>式</t>
    <phoneticPr fontId="10" type="noConversion"/>
  </si>
  <si>
    <t>專任助理(二)</t>
    <phoneticPr fontId="10" type="noConversion"/>
  </si>
  <si>
    <t>勞保費</t>
    <phoneticPr fontId="9" type="noConversion"/>
  </si>
  <si>
    <t>兼任助理</t>
    <phoneticPr fontId="10" type="noConversion"/>
  </si>
  <si>
    <t>健保費或補充保費(二擇一)</t>
    <phoneticPr fontId="9" type="noConversion"/>
  </si>
  <si>
    <t>教學助理</t>
    <phoneticPr fontId="10" type="noConversion"/>
  </si>
  <si>
    <t>人月</t>
    <phoneticPr fontId="10" type="noConversion"/>
  </si>
  <si>
    <t>未依學經歷(職級)或期程聘用人員，致補(捐)助剩餘款不得流用，並須全數繳回。</t>
    <phoneticPr fontId="10" type="noConversion"/>
  </si>
  <si>
    <t>自籌款小計①</t>
    <phoneticPr fontId="10" type="noConversion"/>
  </si>
  <si>
    <t>出席費/諮詢費</t>
    <phoneticPr fontId="17" type="noConversion"/>
  </si>
  <si>
    <t>人次</t>
    <phoneticPr fontId="10" type="noConversion"/>
  </si>
  <si>
    <t>節次</t>
    <phoneticPr fontId="9" type="noConversion"/>
  </si>
  <si>
    <t>教師共時教學授課鐘點費</t>
    <phoneticPr fontId="10" type="noConversion"/>
  </si>
  <si>
    <t>教授級</t>
    <phoneticPr fontId="9" type="noConversion"/>
  </si>
  <si>
    <t>副教授級</t>
    <phoneticPr fontId="9" type="noConversion"/>
  </si>
  <si>
    <t>助理教授級</t>
    <phoneticPr fontId="9" type="noConversion"/>
  </si>
  <si>
    <t>稿費</t>
    <phoneticPr fontId="10" type="noConversion"/>
  </si>
  <si>
    <t>千字/篇</t>
    <phoneticPr fontId="9" type="noConversion"/>
  </si>
  <si>
    <t>工作(讀)費</t>
    <phoneticPr fontId="17" type="noConversion"/>
  </si>
  <si>
    <t>人時</t>
    <phoneticPr fontId="17" type="noConversion"/>
  </si>
  <si>
    <t>1. 行政院「全國軍公教員工待遇支給點」第2點規定之適用人員，不得支給工作費。
2. 工讀費以現行勞動基準法所訂最低基本工資1.2倍為支給上限，然不得低於勞動基準法所訂之最低基本工資。大專校院如訂有支給規定者，得依其規定支給。</t>
    <phoneticPr fontId="10" type="noConversion"/>
  </si>
  <si>
    <t>衍生補充保費之業務費經費項目合計</t>
    <phoneticPr fontId="9" type="noConversion"/>
  </si>
  <si>
    <t>式</t>
  </si>
  <si>
    <t>式</t>
    <phoneticPr fontId="17" type="noConversion"/>
  </si>
  <si>
    <t>支領工作(讀)費之勞保費</t>
    <phoneticPr fontId="17" type="noConversion"/>
  </si>
  <si>
    <t>月</t>
    <phoneticPr fontId="17" type="noConversion"/>
  </si>
  <si>
    <t>支領工作(讀)費之勞工退休金或離職儲金</t>
    <phoneticPr fontId="17" type="noConversion"/>
  </si>
  <si>
    <t>印刷費</t>
    <phoneticPr fontId="9" type="noConversion"/>
  </si>
  <si>
    <t>資料蒐集費</t>
    <phoneticPr fontId="9" type="noConversion"/>
  </si>
  <si>
    <t>與計畫直接有關之資料檢索、參考圖書等購置費用。上限 30,000 元。</t>
    <phoneticPr fontId="17" type="noConversion"/>
  </si>
  <si>
    <t>材料費</t>
    <phoneticPr fontId="9" type="noConversion"/>
  </si>
  <si>
    <t>膳費</t>
    <phoneticPr fontId="17" type="noConversion"/>
  </si>
  <si>
    <t>午、晚餐</t>
    <phoneticPr fontId="9" type="noConversion"/>
  </si>
  <si>
    <t>人餐</t>
    <phoneticPr fontId="17" type="noConversion"/>
  </si>
  <si>
    <t>每人每日膳費250元，午、晚餐每餐單價須於80元範圍內供應，茶點以40元/人次為限。辦理期程半日者，上限 120 元/人日(午餐 80 元+茶點 40 元)；第1天(包括1日活動)不提供早餐，其1日膳費以200元為基準編列( 2 餐 1 茶點)。依「教育部及所屬機關(構)辦理各類會議講習訓練與研討（習）會管理要點」辦理。</t>
    <phoneticPr fontId="9" type="noConversion"/>
  </si>
  <si>
    <t>茶點</t>
    <phoneticPr fontId="9" type="noConversion"/>
  </si>
  <si>
    <t>人次</t>
    <phoneticPr fontId="9" type="noConversion"/>
  </si>
  <si>
    <t>國內交通費(校外專家)</t>
    <phoneticPr fontId="17" type="noConversion"/>
  </si>
  <si>
    <t>交通費</t>
    <phoneticPr fontId="9" type="noConversion"/>
  </si>
  <si>
    <t>人次</t>
    <phoneticPr fontId="17" type="noConversion"/>
  </si>
  <si>
    <t>住宿費</t>
    <phoneticPr fontId="9" type="noConversion"/>
  </si>
  <si>
    <t>人日</t>
    <phoneticPr fontId="9" type="noConversion"/>
  </si>
  <si>
    <t>短程車資</t>
    <phoneticPr fontId="9" type="noConversion"/>
  </si>
  <si>
    <t>國內差旅費(計畫成員)</t>
    <phoneticPr fontId="17" type="noConversion"/>
  </si>
  <si>
    <t>雜費</t>
    <phoneticPr fontId="9" type="noConversion"/>
  </si>
  <si>
    <t>租車費</t>
    <phoneticPr fontId="10" type="noConversion"/>
  </si>
  <si>
    <t>車次</t>
    <phoneticPr fontId="17" type="noConversion"/>
  </si>
  <si>
    <t>保險費</t>
    <phoneticPr fontId="10" type="noConversion"/>
  </si>
  <si>
    <t>場地使用費</t>
    <phoneticPr fontId="10" type="noConversion"/>
  </si>
  <si>
    <t>場次</t>
    <phoneticPr fontId="17" type="noConversion"/>
  </si>
  <si>
    <t>辦理計畫相關會議或活動等所需租借場地費用(限外部場地)，依「教育部及所屬機關(構)辦理各類會議講習訓練與研討(習)會管理要點」辦理。</t>
    <phoneticPr fontId="10" type="noConversion"/>
  </si>
  <si>
    <t>設備使用費</t>
    <phoneticPr fontId="10" type="noConversion"/>
  </si>
  <si>
    <t>課程、〇〇活動所需相關設備、物品之租用費。</t>
    <phoneticPr fontId="10" type="noConversion"/>
  </si>
  <si>
    <t>國外學者來臺費用</t>
    <phoneticPr fontId="10" type="noConversion"/>
  </si>
  <si>
    <t>機票費</t>
    <phoneticPr fontId="9" type="noConversion"/>
  </si>
  <si>
    <t>人</t>
    <phoneticPr fontId="10" type="noConversion"/>
  </si>
  <si>
    <t>人日</t>
    <phoneticPr fontId="10" type="noConversion"/>
  </si>
  <si>
    <t>國內交通費</t>
    <phoneticPr fontId="9" type="noConversion"/>
  </si>
  <si>
    <t>保險費</t>
    <phoneticPr fontId="9" type="noConversion"/>
  </si>
  <si>
    <t>式</t>
    <phoneticPr fontId="9" type="noConversion"/>
  </si>
  <si>
    <t>凡前項費用未列之辦公事務費用屬之。如文具用品、紙張、資訊耗材、資料夾、郵資、錄音筆、隨身硬碟等屬之。(單價未達 1 萬元或耐用年限未達 2 年)(以業務費總額之6%為編列上限)</t>
    <phoneticPr fontId="10" type="noConversion"/>
  </si>
  <si>
    <t>申請教育部補助經費小計②</t>
    <phoneticPr fontId="10" type="noConversion"/>
  </si>
  <si>
    <t>自籌款小計②</t>
    <phoneticPr fontId="10" type="noConversion"/>
  </si>
  <si>
    <t>擬購設備應詳列名稱、數量、單價，並說明與計畫關連性。第一期計畫起，每年每案以 50 萬元為上限。</t>
    <phoneticPr fontId="10" type="noConversion"/>
  </si>
  <si>
    <t>申請教育部補助經費小計③</t>
    <phoneticPr fontId="10" type="noConversion"/>
  </si>
  <si>
    <t>自籌款小計③</t>
    <phoneticPr fontId="10" type="noConversion"/>
  </si>
  <si>
    <t>應提撥申請經費之10%作為自籌款，實際自籌款提撥金額視教育部核定金額調整。</t>
    <phoneticPr fontId="9" type="noConversion"/>
  </si>
  <si>
    <t>健保費</t>
    <phoneticPr fontId="9" type="noConversion"/>
  </si>
  <si>
    <t>依「中央政府各機關學校出席費及稿費支給要點」辦理。編列上限: 2,500 元/人次。</t>
  </si>
  <si>
    <t>依「講座鐘點費支給表」辦理。編列上限: 2,000 元/節次。</t>
  </si>
  <si>
    <t>依「講座鐘點費支給表」辦理。編列上限: 1,000 元/節次。</t>
  </si>
  <si>
    <t>狀態</t>
    <phoneticPr fontId="9" type="noConversion"/>
  </si>
  <si>
    <t>　教育部補(捐)助計畫項目經費申請表(非民間團體)</t>
    <phoneticPr fontId="10" type="noConversion"/>
  </si>
  <si>
    <t>說明</t>
    <phoneticPr fontId="9" type="noConversion"/>
  </si>
  <si>
    <t>外聘</t>
    <phoneticPr fontId="9" type="noConversion"/>
  </si>
  <si>
    <t>內聘</t>
    <phoneticPr fontId="9" type="noConversion"/>
  </si>
  <si>
    <t>講座鐘點費</t>
    <phoneticPr fontId="10" type="noConversion"/>
  </si>
  <si>
    <t>薪資，每學期至多支領 6 個月。支給上限:博士班學生 10,000 元/月，碩士班 7,000 元/月， 大學部 5,000 元/月。</t>
    <phoneticPr fontId="9" type="noConversion"/>
  </si>
  <si>
    <t>自籌款合計(B)=①+②+③</t>
    <phoneticPr fontId="10" type="noConversion"/>
  </si>
  <si>
    <t>申請教育部補助經費合計(A)=①+②+③</t>
    <phoneticPr fontId="10" type="noConversion"/>
  </si>
  <si>
    <t>補助比率(A)/(C)</t>
    <phoneticPr fontId="9" type="noConversion"/>
  </si>
  <si>
    <t>計畫經費總額(A)+(B)</t>
    <phoneticPr fontId="9" type="noConversion"/>
  </si>
  <si>
    <t>類</t>
    <phoneticPr fontId="9" type="noConversion"/>
  </si>
  <si>
    <t>薪資-博士班</t>
    <phoneticPr fontId="9" type="noConversion"/>
  </si>
  <si>
    <t>薪資-碩士班</t>
    <phoneticPr fontId="9" type="noConversion"/>
  </si>
  <si>
    <t>薪資-大學部</t>
    <phoneticPr fontId="9" type="noConversion"/>
  </si>
  <si>
    <t>B</t>
    <phoneticPr fontId="9" type="noConversion"/>
  </si>
  <si>
    <t>符合支領公務人員因公傷亡慰問金發給辦法之人員不另加保。</t>
    <phoneticPr fontId="9" type="noConversion"/>
  </si>
  <si>
    <r>
      <t>自籌款</t>
    </r>
    <r>
      <rPr>
        <sz val="12"/>
        <color rgb="FF000000"/>
        <rFont val="微軟正黑體"/>
        <family val="2"/>
        <charset val="136"/>
      </rPr>
      <t>支應</t>
    </r>
    <phoneticPr fontId="9" type="noConversion"/>
  </si>
  <si>
    <t>雜支</t>
    <phoneticPr fontId="9" type="noConversion"/>
  </si>
  <si>
    <t>第二期補助經費上限:A類250萬元、B類450萬元</t>
    <phoneticPr fontId="9" type="noConversion"/>
  </si>
  <si>
    <t>人事費</t>
    <phoneticPr fontId="9" type="noConversion"/>
  </si>
  <si>
    <t>業務費</t>
    <phoneticPr fontId="9" type="noConversion"/>
  </si>
  <si>
    <t>設備費</t>
    <phoneticPr fontId="9" type="noConversion"/>
  </si>
  <si>
    <t xml:space="preserve">工作日支費-特聘講座級
</t>
    <phoneticPr fontId="9" type="noConversion"/>
  </si>
  <si>
    <t>工作日支費-教授級</t>
    <phoneticPr fontId="9" type="noConversion"/>
  </si>
  <si>
    <t>工作日支費-副教授級</t>
    <phoneticPr fontId="9" type="noConversion"/>
  </si>
  <si>
    <t>工作日支費-助理教授級</t>
    <phoneticPr fontId="9" type="noConversion"/>
  </si>
  <si>
    <t>步驟1：擬申請類別(請於右側灰底儲存格輸入A或B)</t>
    <phoneticPr fontId="9" type="noConversion"/>
  </si>
  <si>
    <t>步驟2：請將經費編列內容填列於下表。</t>
    <phoneticPr fontId="9" type="noConversion"/>
  </si>
  <si>
    <t>步驟3：確認金額計算符合規定且計算無誤後，填寫計畫書之經費申請表(odt/word)。</t>
    <phoneticPr fontId="9" type="noConversion"/>
  </si>
  <si>
    <t>申請教育部補助經費小計①</t>
    <phoneticPr fontId="10" type="noConversion"/>
  </si>
  <si>
    <t>請說明計算方式。</t>
    <phoneticPr fontId="9" type="noConversion"/>
  </si>
  <si>
    <t>健保費或補充保費(二擇一)</t>
    <phoneticPr fontId="9" type="noConversion"/>
  </si>
  <si>
    <t>*說明欄請列計算式。(範例：6000元*2人*12月=144,000元)</t>
    <phoneticPr fontId="9" type="noConversion"/>
  </si>
  <si>
    <r>
      <t>衍生補充保費之經費項目如:出席費、講座鐘點費、稿費、工讀費</t>
    </r>
    <r>
      <rPr>
        <sz val="12"/>
        <color theme="1"/>
        <rFont val="微軟正黑體"/>
        <family val="2"/>
        <charset val="136"/>
      </rPr>
      <t>等</t>
    </r>
    <phoneticPr fontId="9" type="noConversion"/>
  </si>
  <si>
    <t>*灰底部分請依計畫實際需求填寫；黃底部分已設定公式，請勿更動；綠底為自動判別，已鎖定，無法更動。</t>
    <phoneticPr fontId="9" type="noConversion"/>
  </si>
  <si>
    <r>
      <t>1. 至多補助 4 人並以 30 萬元為限。
2. 邀請〇名(國籍)學者(級別)來臺，編列來回</t>
    </r>
    <r>
      <rPr>
        <sz val="12"/>
        <color theme="1"/>
        <rFont val="微軟正黑體"/>
        <family val="2"/>
        <charset val="136"/>
      </rPr>
      <t>商務</t>
    </r>
    <r>
      <rPr>
        <sz val="12"/>
        <rFont val="微軟正黑體"/>
        <family val="2"/>
        <charset val="136"/>
      </rPr>
      <t xml:space="preserve">艙機票費用，暫估票價〇元，檢據核實報支。
3. 邀請國外學者來臺演講、參與工作坊或會議所需。國外學者來臺工作報酬(含生活費)，依行政院「各機關聘請國外顧問、專家及學者來臺工作期間支付費用最高標準表」支給報酬(國外學者領日支費者，不能再另支付住宿餐飲等，亦不得支領演講費等其他酬勞)。
4. 支付國外學者參與會議之國內交通所需費用，依「國內出差旅費報支要點」檢據核實報支。國外學者來臺所需 400 萬保額保險費，檢據核實報支。
</t>
    </r>
    <phoneticPr fontId="9" type="noConversion"/>
  </si>
  <si>
    <t>人次</t>
    <phoneticPr fontId="17" type="noConversion"/>
  </si>
  <si>
    <r>
      <t>依主持費乘以補充保費費率(</t>
    </r>
    <r>
      <rPr>
        <sz val="12"/>
        <color rgb="FFFF0000"/>
        <rFont val="微軟正黑體"/>
        <family val="2"/>
        <charset val="136"/>
      </rPr>
      <t>2.11%</t>
    </r>
    <r>
      <rPr>
        <sz val="12"/>
        <rFont val="微軟正黑體"/>
        <family val="2"/>
        <charset val="136"/>
      </rPr>
      <t>)編列，請依公式計算並四捨五入後，再乘以數量。</t>
    </r>
    <phoneticPr fontId="9" type="noConversion"/>
  </si>
  <si>
    <t>每人每月以5,000元至8,000元為限。</t>
    <phoneticPr fontId="9" type="noConversion"/>
  </si>
  <si>
    <t>每人每月以4,000至6,000元為限。</t>
    <phoneticPr fontId="9" type="noConversion"/>
  </si>
  <si>
    <r>
      <t>依年終獎金乘以補充保費費率(</t>
    </r>
    <r>
      <rPr>
        <sz val="12"/>
        <color rgb="FFFF0000"/>
        <rFont val="微軟正黑體"/>
        <family val="2"/>
        <charset val="136"/>
      </rPr>
      <t>2.11%</t>
    </r>
    <r>
      <rPr>
        <sz val="12"/>
        <rFont val="微軟正黑體"/>
        <family val="2"/>
        <charset val="136"/>
      </rPr>
      <t>)編列，請依公式計算並四捨五入後，再乘以數量。</t>
    </r>
    <phoneticPr fontId="10" type="noConversion"/>
  </si>
  <si>
    <t>協同主持人</t>
    <phoneticPr fontId="10" type="noConversion"/>
  </si>
  <si>
    <t>每人每月以5,000至8,000元為限。</t>
    <phoneticPr fontId="9" type="noConversion"/>
  </si>
  <si>
    <t>補充保費費率2.11%</t>
    <phoneticPr fontId="9" type="noConversion"/>
  </si>
  <si>
    <t>兼任教師授課鐘點費</t>
    <phoneticPr fontId="9" type="noConversion"/>
  </si>
  <si>
    <t>授課鐘點費</t>
    <phoneticPr fontId="9" type="noConversion"/>
  </si>
  <si>
    <t>(請檢附校內支給標準，並依各校相關規定列出計算方式)</t>
    <phoneticPr fontId="9" type="noConversion"/>
  </si>
  <si>
    <t>人月</t>
    <phoneticPr fontId="9" type="noConversion"/>
  </si>
  <si>
    <t>補充保費依兼任教師授課鐘點費之2.11% 編列。</t>
    <phoneticPr fontId="9" type="noConversion"/>
  </si>
  <si>
    <t>因應110年1月薪資調漲，請確認費用是否調整。</t>
    <phoneticPr fontId="9" type="noConversion"/>
  </si>
  <si>
    <r>
      <t xml:space="preserve">1. 編列上限5,000元/月。
</t>
    </r>
    <r>
      <rPr>
        <sz val="12"/>
        <color rgb="FFFF0000"/>
        <rFont val="微軟正黑體"/>
        <family val="2"/>
        <charset val="136"/>
      </rPr>
      <t>2.聘用期程以3至12個月為單位計算。</t>
    </r>
    <phoneticPr fontId="17" type="noConversion"/>
  </si>
  <si>
    <t>1. 按投保薪資 ○ 元以下者每月勞保費 ○ 元編列。
2. 因應110年1月薪資調漲，請確認費用是否調整。</t>
    <phoneticPr fontId="17" type="noConversion"/>
  </si>
  <si>
    <t>1. 按投保薪資 ○ 元以下者每月勞工退休金或離職儲金 ○ 元編列。
2. 因應110年1月薪資調漲，請確認費用是否調整。</t>
    <phoneticPr fontId="17" type="noConversion"/>
  </si>
  <si>
    <t>教材授權、教材編輯等相關編稿費用，依「中央政府各機關學校出席費及稿費支給要點」辦理。(請說明項目、編列標準及計算方式)</t>
    <phoneticPr fontId="10" type="noConversion"/>
  </si>
  <si>
    <t>得依擔任共時授課教師之職等編列，依各校標準(需檢附校內標準)，核實支付。如已支領學校發給之鐘點費，不得重複領取。</t>
    <phoneticPr fontId="9" type="noConversion"/>
  </si>
  <si>
    <t>年終獎金，限12月1日在職者支領，按110年度工作月數(○個月)依比例編列，至多編列1.5個月。</t>
    <phoneticPr fontId="10" type="noConversion"/>
  </si>
  <si>
    <r>
      <t>1. 補充保費依兼任助理薪資之</t>
    </r>
    <r>
      <rPr>
        <sz val="12"/>
        <color rgb="FFFF0000"/>
        <rFont val="微軟正黑體"/>
        <family val="2"/>
        <charset val="136"/>
      </rPr>
      <t>2.11%</t>
    </r>
    <r>
      <rPr>
        <sz val="12"/>
        <rFont val="微軟正黑體"/>
        <family val="2"/>
        <charset val="136"/>
      </rPr>
      <t xml:space="preserve"> 編列。
2. 因</t>
    </r>
    <r>
      <rPr>
        <sz val="12"/>
        <color theme="1"/>
        <rFont val="微軟正黑體"/>
        <family val="2"/>
        <charset val="136"/>
      </rPr>
      <t>應110年</t>
    </r>
    <r>
      <rPr>
        <sz val="12"/>
        <rFont val="微軟正黑體"/>
        <family val="2"/>
        <charset val="136"/>
      </rPr>
      <t>1月薪資調漲，請確認費用是否調整。</t>
    </r>
    <phoneticPr fontId="9" type="noConversion"/>
  </si>
  <si>
    <t>因應110年1月薪資調漲，請確認費用是否調整。</t>
    <phoneticPr fontId="17" type="noConversion"/>
  </si>
  <si>
    <t>1. 校外專家學者或計畫成員參與計畫相關會議或活動之旅運費，依「國內出差旅費報支要點」檢據核實報支。凡公民營汽車到達地區，除因急要公務經主管機關核准者外，其搭乘計程車之費用，不得報支。
2. 住宿費每人每日上限 2,000 元(簡任級以下)，依「國內出差旅費報支要點」檢據核實報支。(請說明項目、編列標準[高鐵起訖點]及計算方式)</t>
    <phoneticPr fontId="9" type="noConversion"/>
  </si>
  <si>
    <r>
      <rPr>
        <sz val="12"/>
        <color theme="1"/>
        <rFont val="微軟正黑體"/>
        <family val="2"/>
        <charset val="136"/>
      </rPr>
      <t>1. 補充保費</t>
    </r>
    <r>
      <rPr>
        <sz val="12"/>
        <rFont val="微軟正黑體"/>
        <family val="2"/>
        <charset val="136"/>
      </rPr>
      <t>依教學助理薪資之</t>
    </r>
    <r>
      <rPr>
        <sz val="12"/>
        <color rgb="FFFF0000"/>
        <rFont val="微軟正黑體"/>
        <family val="2"/>
        <charset val="136"/>
      </rPr>
      <t>2.11%</t>
    </r>
    <r>
      <rPr>
        <sz val="12"/>
        <rFont val="微軟正黑體"/>
        <family val="2"/>
        <charset val="136"/>
      </rPr>
      <t xml:space="preserve"> 編列。
2. 因</t>
    </r>
    <r>
      <rPr>
        <sz val="12"/>
        <color theme="1"/>
        <rFont val="微軟正黑體"/>
        <family val="2"/>
        <charset val="136"/>
      </rPr>
      <t>應110</t>
    </r>
    <r>
      <rPr>
        <sz val="12"/>
        <rFont val="微軟正黑體"/>
        <family val="2"/>
        <charset val="136"/>
      </rPr>
      <t>年1月薪資調漲，請確認費用是否調整。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</si>
</sst>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"/>
  </numFmts>
  <fonts count="28"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4"/>
      <color rgb="FFFF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0D0D0D"/>
      <name val="微軟正黑體"/>
      <family val="2"/>
      <charset val="136"/>
    </font>
    <font>
      <sz val="12"/>
      <color indexed="8"/>
      <name val="新細明體"/>
      <family val="1"/>
      <charset val="136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0" fillId="0" borderId="0" xfId="1" applyFont="1" applyBorder="1" applyAlignment="1">
      <alignment vertical="top" wrapText="1"/>
    </xf>
    <xf numFmtId="3" fontId="21" fillId="0" borderId="0" xfId="1" applyNumberFormat="1" applyFont="1" applyBorder="1" applyAlignment="1">
      <alignment vertical="top" wrapText="1"/>
    </xf>
    <xf numFmtId="0" fontId="22" fillId="0" borderId="0" xfId="1" applyFont="1" applyBorder="1" applyAlignment="1">
      <alignment vertical="top" wrapText="1"/>
    </xf>
    <xf numFmtId="3" fontId="22" fillId="0" borderId="0" xfId="1" applyNumberFormat="1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top"/>
    </xf>
    <xf numFmtId="3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3" fontId="16" fillId="4" borderId="2" xfId="0" applyNumberFormat="1" applyFont="1" applyFill="1" applyBorder="1" applyAlignment="1" applyProtection="1">
      <alignment horizontal="right" vertical="top" wrapText="1"/>
      <protection locked="0"/>
    </xf>
    <xf numFmtId="0" fontId="16" fillId="4" borderId="2" xfId="0" applyFont="1" applyFill="1" applyBorder="1" applyAlignment="1" applyProtection="1">
      <alignment horizontal="right" vertical="top" wrapText="1"/>
      <protection locked="0"/>
    </xf>
    <xf numFmtId="3" fontId="16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" xfId="0" applyFont="1" applyBorder="1" applyAlignment="1" applyProtection="1">
      <alignment horizontal="right" vertical="top" wrapText="1"/>
      <protection locked="0"/>
    </xf>
    <xf numFmtId="3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vertical="top" wrapText="1"/>
      <protection locked="0"/>
    </xf>
    <xf numFmtId="0" fontId="15" fillId="0" borderId="2" xfId="0" applyFont="1" applyBorder="1" applyAlignment="1" applyProtection="1">
      <alignment vertical="top" wrapText="1"/>
      <protection locked="0"/>
    </xf>
    <xf numFmtId="3" fontId="16" fillId="4" borderId="2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3" fontId="16" fillId="0" borderId="2" xfId="0" applyNumberFormat="1" applyFont="1" applyBorder="1" applyAlignment="1" applyProtection="1">
      <alignment horizontal="right" vertical="top"/>
      <protection locked="0"/>
    </xf>
    <xf numFmtId="0" fontId="18" fillId="0" borderId="2" xfId="0" applyFont="1" applyBorder="1" applyAlignment="1" applyProtection="1">
      <alignment vertical="top"/>
      <protection locked="0"/>
    </xf>
    <xf numFmtId="0" fontId="16" fillId="0" borderId="2" xfId="0" applyFont="1" applyBorder="1" applyAlignment="1" applyProtection="1">
      <alignment horizontal="right" vertical="top"/>
      <protection locked="0"/>
    </xf>
    <xf numFmtId="0" fontId="16" fillId="3" borderId="2" xfId="0" applyFont="1" applyFill="1" applyBorder="1" applyAlignment="1" applyProtection="1">
      <alignment vertical="top" wrapText="1"/>
      <protection locked="0"/>
    </xf>
    <xf numFmtId="3" fontId="16" fillId="4" borderId="2" xfId="0" applyNumberFormat="1" applyFont="1" applyFill="1" applyBorder="1" applyAlignment="1" applyProtection="1">
      <alignment horizontal="right" vertical="top" wrapText="1"/>
    </xf>
    <xf numFmtId="0" fontId="16" fillId="4" borderId="2" xfId="0" applyFont="1" applyFill="1" applyBorder="1" applyAlignment="1" applyProtection="1">
      <alignment horizontal="right" vertical="top" wrapText="1"/>
    </xf>
    <xf numFmtId="3" fontId="14" fillId="4" borderId="2" xfId="0" applyNumberFormat="1" applyFont="1" applyFill="1" applyBorder="1" applyAlignment="1" applyProtection="1">
      <alignment vertical="top" wrapText="1"/>
    </xf>
    <xf numFmtId="3" fontId="16" fillId="4" borderId="2" xfId="0" applyNumberFormat="1" applyFont="1" applyFill="1" applyBorder="1" applyAlignment="1" applyProtection="1">
      <alignment vertical="top" wrapText="1"/>
    </xf>
    <xf numFmtId="3" fontId="16" fillId="4" borderId="2" xfId="0" applyNumberFormat="1" applyFont="1" applyFill="1" applyBorder="1" applyAlignment="1" applyProtection="1">
      <alignment horizontal="right" vertical="top"/>
    </xf>
    <xf numFmtId="0" fontId="16" fillId="4" borderId="2" xfId="0" applyFont="1" applyFill="1" applyBorder="1" applyAlignment="1" applyProtection="1">
      <alignment horizontal="right" vertical="top"/>
    </xf>
    <xf numFmtId="0" fontId="11" fillId="0" borderId="0" xfId="0" applyFont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vertical="top" wrapText="1"/>
      <protection locked="0"/>
    </xf>
    <xf numFmtId="0" fontId="24" fillId="0" borderId="2" xfId="0" applyFont="1" applyBorder="1" applyAlignment="1">
      <alignment vertical="top"/>
    </xf>
    <xf numFmtId="0" fontId="26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 applyProtection="1">
      <alignment horizontal="left" vertical="top" wrapText="1"/>
      <protection locked="0"/>
    </xf>
    <xf numFmtId="3" fontId="16" fillId="0" borderId="0" xfId="0" applyNumberFormat="1" applyFont="1" applyFill="1" applyBorder="1" applyAlignment="1" applyProtection="1">
      <alignment horizontal="left" vertical="top" wrapText="1"/>
      <protection locked="0"/>
    </xf>
    <xf numFmtId="3" fontId="16" fillId="0" borderId="0" xfId="0" applyNumberFormat="1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8" fillId="2" borderId="4" xfId="0" applyFont="1" applyFill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hidden="1"/>
    </xf>
    <xf numFmtId="0" fontId="16" fillId="3" borderId="2" xfId="0" applyFont="1" applyFill="1" applyBorder="1" applyAlignment="1" applyProtection="1">
      <alignment vertical="top" wrapText="1"/>
      <protection hidden="1"/>
    </xf>
    <xf numFmtId="3" fontId="16" fillId="0" borderId="2" xfId="0" applyNumberFormat="1" applyFont="1" applyFill="1" applyBorder="1" applyAlignment="1" applyProtection="1">
      <alignment vertical="top" wrapText="1"/>
      <protection hidden="1"/>
    </xf>
    <xf numFmtId="0" fontId="16" fillId="0" borderId="2" xfId="0" applyFont="1" applyFill="1" applyBorder="1" applyAlignment="1" applyProtection="1">
      <alignment vertical="top" wrapText="1"/>
      <protection hidden="1"/>
    </xf>
    <xf numFmtId="0" fontId="16" fillId="0" borderId="2" xfId="0" applyFont="1" applyBorder="1" applyAlignment="1" applyProtection="1">
      <alignment vertical="top" wrapText="1"/>
      <protection hidden="1"/>
    </xf>
    <xf numFmtId="0" fontId="16" fillId="0" borderId="2" xfId="0" applyFont="1" applyBorder="1" applyAlignment="1" applyProtection="1">
      <alignment vertical="top"/>
      <protection hidden="1"/>
    </xf>
    <xf numFmtId="0" fontId="16" fillId="3" borderId="7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vertical="top"/>
    </xf>
    <xf numFmtId="0" fontId="16" fillId="0" borderId="0" xfId="0" applyFont="1" applyFill="1" applyBorder="1" applyAlignment="1" applyProtection="1">
      <alignment vertical="top" wrapText="1"/>
      <protection hidden="1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 horizontal="left" wrapText="1"/>
    </xf>
    <xf numFmtId="3" fontId="14" fillId="4" borderId="2" xfId="0" applyNumberFormat="1" applyFont="1" applyFill="1" applyBorder="1" applyAlignment="1" applyProtection="1">
      <alignment horizontal="right" vertical="top" wrapText="1"/>
    </xf>
    <xf numFmtId="0" fontId="16" fillId="5" borderId="2" xfId="0" applyFont="1" applyFill="1" applyBorder="1" applyAlignment="1" applyProtection="1">
      <alignment horizontal="right" vertical="top" wrapText="1"/>
      <protection locked="0"/>
    </xf>
    <xf numFmtId="3" fontId="16" fillId="5" borderId="2" xfId="0" applyNumberFormat="1" applyFont="1" applyFill="1" applyBorder="1" applyAlignment="1" applyProtection="1">
      <alignment horizontal="right" vertical="top" wrapText="1"/>
      <protection locked="0"/>
    </xf>
    <xf numFmtId="176" fontId="16" fillId="5" borderId="2" xfId="0" applyNumberFormat="1" applyFont="1" applyFill="1" applyBorder="1" applyAlignment="1" applyProtection="1">
      <alignment horizontal="right" vertical="top" wrapText="1"/>
      <protection locked="0"/>
    </xf>
    <xf numFmtId="0" fontId="15" fillId="5" borderId="6" xfId="0" applyFont="1" applyFill="1" applyBorder="1" applyAlignment="1" applyProtection="1">
      <alignment vertical="top" wrapText="1"/>
      <protection locked="0"/>
    </xf>
    <xf numFmtId="3" fontId="16" fillId="3" borderId="2" xfId="0" applyNumberFormat="1" applyFont="1" applyFill="1" applyBorder="1" applyAlignment="1" applyProtection="1">
      <alignment horizontal="right" vertical="top" wrapText="1"/>
      <protection locked="0"/>
    </xf>
    <xf numFmtId="0" fontId="16" fillId="3" borderId="2" xfId="0" applyFont="1" applyFill="1" applyBorder="1" applyAlignment="1" applyProtection="1">
      <alignment horizontal="right" vertical="top" wrapText="1"/>
      <protection locked="0"/>
    </xf>
    <xf numFmtId="3" fontId="16" fillId="3" borderId="2" xfId="0" applyNumberFormat="1" applyFont="1" applyFill="1" applyBorder="1" applyAlignment="1" applyProtection="1">
      <alignment vertical="top" wrapText="1"/>
      <protection locked="0"/>
    </xf>
    <xf numFmtId="3" fontId="16" fillId="3" borderId="2" xfId="0" applyNumberFormat="1" applyFont="1" applyFill="1" applyBorder="1" applyAlignment="1" applyProtection="1">
      <alignment horizontal="right" vertical="top"/>
      <protection locked="0"/>
    </xf>
    <xf numFmtId="0" fontId="16" fillId="3" borderId="2" xfId="0" applyFont="1" applyFill="1" applyBorder="1" applyAlignment="1" applyProtection="1">
      <alignment horizontal="right" vertical="top"/>
      <protection locked="0"/>
    </xf>
    <xf numFmtId="3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center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3" fontId="27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hidden="1"/>
    </xf>
    <xf numFmtId="3" fontId="6" fillId="4" borderId="2" xfId="0" applyNumberFormat="1" applyFont="1" applyFill="1" applyBorder="1" applyAlignment="1" applyProtection="1">
      <alignment vertical="top" wrapText="1"/>
      <protection locked="0"/>
    </xf>
    <xf numFmtId="3" fontId="6" fillId="4" borderId="2" xfId="0" applyNumberFormat="1" applyFont="1" applyFill="1" applyBorder="1" applyAlignment="1" applyProtection="1">
      <alignment horizontal="right" vertical="top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  <protection locked="0"/>
    </xf>
    <xf numFmtId="3" fontId="14" fillId="4" borderId="2" xfId="0" applyNumberFormat="1" applyFont="1" applyFill="1" applyBorder="1" applyAlignment="1" applyProtection="1">
      <alignment horizontal="right" vertical="top" wrapText="1"/>
    </xf>
    <xf numFmtId="10" fontId="14" fillId="4" borderId="2" xfId="2" applyNumberFormat="1" applyFont="1" applyFill="1" applyBorder="1" applyAlignment="1" applyProtection="1">
      <alignment horizontal="right" vertical="top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right" vertical="top" wrapText="1"/>
    </xf>
    <xf numFmtId="0" fontId="7" fillId="0" borderId="3" xfId="0" applyFont="1" applyFill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right" vertical="top" wrapText="1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 applyProtection="1">
      <alignment horizontal="left" vertical="top"/>
      <protection locked="0"/>
    </xf>
    <xf numFmtId="0" fontId="18" fillId="2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</xf>
    <xf numFmtId="0" fontId="15" fillId="4" borderId="2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3">
    <cellStyle name="Excel Built-in Normal" xfId="1"/>
    <cellStyle name="一般" xfId="0" builtinId="0"/>
    <cellStyle name="百分比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B85" zoomScaleNormal="100" zoomScaleSheetLayoutView="100" zoomScalePageLayoutView="130" workbookViewId="0">
      <selection activeCell="E81" sqref="E81"/>
    </sheetView>
  </sheetViews>
  <sheetFormatPr defaultColWidth="8.875" defaultRowHeight="16.5"/>
  <cols>
    <col min="1" max="1" width="4" style="69" customWidth="1"/>
    <col min="2" max="2" width="6.5" style="6" customWidth="1"/>
    <col min="3" max="3" width="22.125" style="6" customWidth="1"/>
    <col min="4" max="5" width="9.625" style="7" customWidth="1"/>
    <col min="6" max="6" width="10.625" style="8" customWidth="1"/>
    <col min="7" max="7" width="11.375" style="7" customWidth="1"/>
    <col min="8" max="8" width="37.875" style="8" customWidth="1"/>
    <col min="9" max="9" width="29.625" style="8" customWidth="1"/>
    <col min="10" max="10" width="37.125" style="5" customWidth="1"/>
  </cols>
  <sheetData>
    <row r="1" spans="1:13" ht="21">
      <c r="A1" s="86" t="s">
        <v>95</v>
      </c>
      <c r="B1" s="86"/>
      <c r="C1" s="86"/>
      <c r="D1" s="86"/>
      <c r="E1" s="86"/>
      <c r="F1" s="86"/>
      <c r="G1" s="86"/>
      <c r="H1" s="86"/>
      <c r="I1" s="37"/>
      <c r="J1"/>
    </row>
    <row r="2" spans="1:13" ht="19.5" thickBot="1">
      <c r="A2" s="116" t="s">
        <v>0</v>
      </c>
      <c r="B2" s="116"/>
      <c r="C2" s="116"/>
      <c r="D2" s="116"/>
      <c r="E2" s="116"/>
      <c r="F2" s="116"/>
      <c r="G2" s="116"/>
      <c r="H2" s="31"/>
      <c r="I2" s="37"/>
      <c r="J2"/>
    </row>
    <row r="3" spans="1:13" ht="18.75" customHeight="1" thickBot="1">
      <c r="A3" s="122" t="s">
        <v>121</v>
      </c>
      <c r="B3" s="122"/>
      <c r="C3" s="122"/>
      <c r="D3" s="122"/>
      <c r="E3" s="123"/>
      <c r="F3" s="48" t="s">
        <v>109</v>
      </c>
      <c r="G3" s="39" t="s">
        <v>105</v>
      </c>
      <c r="I3" s="36"/>
      <c r="J3" s="56"/>
      <c r="K3" s="56"/>
      <c r="L3" s="31"/>
      <c r="M3" s="28"/>
    </row>
    <row r="4" spans="1:13" ht="18.75" customHeight="1">
      <c r="A4" s="124" t="s">
        <v>122</v>
      </c>
      <c r="B4" s="124"/>
      <c r="C4" s="124"/>
      <c r="D4" s="124"/>
      <c r="E4" s="124"/>
      <c r="F4" s="40"/>
      <c r="G4" s="72"/>
      <c r="H4" s="56"/>
      <c r="I4" s="56"/>
      <c r="J4" s="56"/>
      <c r="K4" s="31"/>
      <c r="L4" s="28"/>
    </row>
    <row r="5" spans="1:13" ht="18.75" customHeight="1">
      <c r="A5" s="124" t="s">
        <v>123</v>
      </c>
      <c r="B5" s="124"/>
      <c r="C5" s="124"/>
      <c r="D5" s="124"/>
      <c r="E5" s="124"/>
      <c r="F5" s="124"/>
      <c r="G5" s="124"/>
      <c r="H5" s="73"/>
      <c r="I5" s="73"/>
      <c r="J5" s="73"/>
      <c r="K5" s="31"/>
      <c r="L5" s="28"/>
    </row>
    <row r="6" spans="1:13" ht="18.75" customHeight="1">
      <c r="A6" s="125" t="s">
        <v>129</v>
      </c>
      <c r="B6" s="125"/>
      <c r="C6" s="125"/>
      <c r="D6" s="125"/>
      <c r="E6" s="125"/>
      <c r="F6" s="125"/>
      <c r="G6" s="125"/>
      <c r="H6" s="125"/>
      <c r="I6" s="73"/>
      <c r="J6" s="73"/>
      <c r="K6" s="31"/>
      <c r="L6" s="28"/>
    </row>
    <row r="7" spans="1:13" ht="18.75" customHeight="1">
      <c r="A7" s="126" t="s">
        <v>127</v>
      </c>
      <c r="B7" s="126"/>
      <c r="C7" s="126"/>
      <c r="D7" s="126"/>
      <c r="E7" s="126"/>
      <c r="F7" s="126"/>
      <c r="G7" s="126"/>
      <c r="H7" s="126"/>
      <c r="I7" s="56"/>
      <c r="J7" s="56"/>
      <c r="K7" s="31"/>
      <c r="L7" s="28"/>
    </row>
    <row r="8" spans="1:13">
      <c r="A8" s="120" t="s">
        <v>1</v>
      </c>
      <c r="B8" s="120"/>
      <c r="C8" s="120"/>
      <c r="D8" s="117" t="s">
        <v>2</v>
      </c>
      <c r="E8" s="118"/>
      <c r="F8" s="118"/>
      <c r="G8" s="118"/>
      <c r="H8" s="118"/>
      <c r="I8" s="119" t="s">
        <v>94</v>
      </c>
      <c r="J8" s="38"/>
    </row>
    <row r="9" spans="1:13">
      <c r="A9" s="120"/>
      <c r="B9" s="120"/>
      <c r="C9" s="120"/>
      <c r="D9" s="70" t="s">
        <v>3</v>
      </c>
      <c r="E9" s="67" t="s">
        <v>4</v>
      </c>
      <c r="F9" s="68" t="s">
        <v>5</v>
      </c>
      <c r="G9" s="67" t="s">
        <v>6</v>
      </c>
      <c r="H9" s="68" t="s">
        <v>96</v>
      </c>
      <c r="I9" s="119"/>
      <c r="J9" s="32"/>
    </row>
    <row r="10" spans="1:13">
      <c r="A10" s="89" t="s">
        <v>114</v>
      </c>
      <c r="B10" s="121" t="s">
        <v>7</v>
      </c>
      <c r="C10" s="71" t="s">
        <v>8</v>
      </c>
      <c r="D10" s="59">
        <v>6000</v>
      </c>
      <c r="E10" s="59">
        <v>12</v>
      </c>
      <c r="F10" s="23" t="s">
        <v>9</v>
      </c>
      <c r="G10" s="22">
        <f>D10*E10</f>
        <v>72000</v>
      </c>
      <c r="H10" s="76" t="s">
        <v>133</v>
      </c>
      <c r="I10" s="42" t="str">
        <f>IF(G10=0,"",IF(
AND(D10&gt;=5000,D10&lt;=8000,E10&lt;=12),"填寫完畢","單價或數量輸入錯誤"))</f>
        <v>填寫完畢</v>
      </c>
      <c r="J10" s="33"/>
    </row>
    <row r="11" spans="1:13" ht="47.25">
      <c r="A11" s="89"/>
      <c r="B11" s="92"/>
      <c r="C11" s="54" t="s">
        <v>10</v>
      </c>
      <c r="D11" s="22">
        <f>ROUND(D10*0.0211,0)</f>
        <v>127</v>
      </c>
      <c r="E11" s="22">
        <f>E10</f>
        <v>12</v>
      </c>
      <c r="F11" s="23" t="s">
        <v>9</v>
      </c>
      <c r="G11" s="22">
        <f t="shared" ref="G11:G39" si="0">D11*E11</f>
        <v>1524</v>
      </c>
      <c r="H11" s="55" t="s">
        <v>132</v>
      </c>
      <c r="I11" s="42" t="str">
        <f>I10</f>
        <v>填寫完畢</v>
      </c>
      <c r="J11" s="33"/>
    </row>
    <row r="12" spans="1:13">
      <c r="A12" s="89"/>
      <c r="B12" s="100" t="s">
        <v>11</v>
      </c>
      <c r="C12" s="54" t="s">
        <v>12</v>
      </c>
      <c r="D12" s="59">
        <v>5000</v>
      </c>
      <c r="E12" s="59">
        <v>12</v>
      </c>
      <c r="F12" s="23" t="s">
        <v>9</v>
      </c>
      <c r="G12" s="22">
        <f t="shared" si="0"/>
        <v>60000</v>
      </c>
      <c r="H12" s="76" t="s">
        <v>137</v>
      </c>
      <c r="I12" s="42" t="str">
        <f>IF(G12=0,"",IF(
AND(D12&gt;=5000,D12&lt;=8000),"填寫完畢","單價輸入錯誤"))</f>
        <v>填寫完畢</v>
      </c>
      <c r="J12" s="33"/>
    </row>
    <row r="13" spans="1:13" ht="47.25">
      <c r="A13" s="89"/>
      <c r="B13" s="100"/>
      <c r="C13" s="54" t="s">
        <v>10</v>
      </c>
      <c r="D13" s="22">
        <f>ROUND(D12*0.0211,0)</f>
        <v>106</v>
      </c>
      <c r="E13" s="22">
        <f>E12</f>
        <v>12</v>
      </c>
      <c r="F13" s="23" t="s">
        <v>13</v>
      </c>
      <c r="G13" s="22">
        <f t="shared" si="0"/>
        <v>1272</v>
      </c>
      <c r="H13" s="55" t="s">
        <v>132</v>
      </c>
      <c r="I13" s="42" t="str">
        <f>I12</f>
        <v>填寫完畢</v>
      </c>
      <c r="J13" s="33"/>
    </row>
    <row r="14" spans="1:13">
      <c r="A14" s="89"/>
      <c r="B14" s="109" t="s">
        <v>136</v>
      </c>
      <c r="C14" s="76" t="s">
        <v>8</v>
      </c>
      <c r="D14" s="59">
        <v>6000</v>
      </c>
      <c r="E14" s="59">
        <v>12</v>
      </c>
      <c r="F14" s="23" t="s">
        <v>9</v>
      </c>
      <c r="G14" s="22">
        <f t="shared" ref="G14:G15" si="1">D14*E14</f>
        <v>72000</v>
      </c>
      <c r="H14" s="76" t="s">
        <v>134</v>
      </c>
      <c r="I14" s="42" t="str">
        <f>IF(G14=0,"",IF(
AND(D14&gt;=4000,D14&lt;=6000),"填寫完畢","單價輸入錯誤"))</f>
        <v>填寫完畢</v>
      </c>
      <c r="J14" s="33"/>
    </row>
    <row r="15" spans="1:13" ht="47.25">
      <c r="A15" s="89"/>
      <c r="B15" s="109"/>
      <c r="C15" s="76" t="s">
        <v>10</v>
      </c>
      <c r="D15" s="22">
        <f>ROUND(D14*0.0211,0)</f>
        <v>127</v>
      </c>
      <c r="E15" s="22">
        <f>E14</f>
        <v>12</v>
      </c>
      <c r="F15" s="23" t="s">
        <v>9</v>
      </c>
      <c r="G15" s="22">
        <f t="shared" si="1"/>
        <v>1524</v>
      </c>
      <c r="H15" s="75" t="s">
        <v>132</v>
      </c>
      <c r="I15" s="42" t="str">
        <f>I14</f>
        <v>填寫完畢</v>
      </c>
      <c r="J15" s="33"/>
    </row>
    <row r="16" spans="1:13" ht="31.5">
      <c r="A16" s="89"/>
      <c r="B16" s="92" t="s">
        <v>14</v>
      </c>
      <c r="C16" s="54" t="s">
        <v>15</v>
      </c>
      <c r="D16" s="59">
        <v>0</v>
      </c>
      <c r="E16" s="59">
        <v>12</v>
      </c>
      <c r="F16" s="23" t="s">
        <v>16</v>
      </c>
      <c r="G16" s="22">
        <f t="shared" si="0"/>
        <v>0</v>
      </c>
      <c r="H16" s="55" t="s">
        <v>17</v>
      </c>
      <c r="I16" s="42" t="str">
        <f>IF(G16=0,"",IF(AND(D16&gt;0,E16&lt;=12),"填寫完畢","數量輸入錯誤"))</f>
        <v/>
      </c>
      <c r="J16" s="33"/>
    </row>
    <row r="17" spans="1:10" ht="16.5" customHeight="1">
      <c r="A17" s="89"/>
      <c r="B17" s="92"/>
      <c r="C17" s="54" t="s">
        <v>18</v>
      </c>
      <c r="D17" s="59">
        <v>0</v>
      </c>
      <c r="E17" s="22">
        <f>E16</f>
        <v>12</v>
      </c>
      <c r="F17" s="23" t="s">
        <v>9</v>
      </c>
      <c r="G17" s="22">
        <f t="shared" si="0"/>
        <v>0</v>
      </c>
      <c r="H17" s="101" t="s">
        <v>144</v>
      </c>
      <c r="I17" s="42" t="str">
        <f t="shared" ref="I17:I20" si="2">IF(G17=0,"",IF(AND(D17&gt;0,E17&lt;=12),"填寫完畢","數量輸入錯誤"))</f>
        <v/>
      </c>
      <c r="J17" s="33"/>
    </row>
    <row r="18" spans="1:10">
      <c r="A18" s="89"/>
      <c r="B18" s="92"/>
      <c r="C18" s="54" t="s">
        <v>19</v>
      </c>
      <c r="D18" s="59">
        <v>0</v>
      </c>
      <c r="E18" s="22">
        <f>E16</f>
        <v>12</v>
      </c>
      <c r="F18" s="23" t="s">
        <v>9</v>
      </c>
      <c r="G18" s="22">
        <f>D18*E19</f>
        <v>0</v>
      </c>
      <c r="H18" s="101"/>
      <c r="I18" s="42" t="str">
        <f>IF(G18=0,"",IF(AND(D18&gt;0,E19&lt;=12),"填寫完畢","數量輸入錯誤"))</f>
        <v/>
      </c>
      <c r="J18" s="33"/>
    </row>
    <row r="19" spans="1:10" ht="31.5">
      <c r="A19" s="89"/>
      <c r="B19" s="92"/>
      <c r="C19" s="54" t="s">
        <v>20</v>
      </c>
      <c r="D19" s="59">
        <v>0</v>
      </c>
      <c r="E19" s="22">
        <f>E16</f>
        <v>12</v>
      </c>
      <c r="F19" s="23" t="s">
        <v>21</v>
      </c>
      <c r="G19" s="22">
        <f>D19*E19</f>
        <v>0</v>
      </c>
      <c r="H19" s="101"/>
      <c r="I19" s="42" t="str">
        <f>IF(E19*D19=0,"",IF(AND(D19&gt;0,E19&lt;=12),"填寫完畢","數量輸入錯誤"))</f>
        <v/>
      </c>
      <c r="J19" s="33"/>
    </row>
    <row r="20" spans="1:10" ht="47.25">
      <c r="A20" s="89"/>
      <c r="B20" s="92"/>
      <c r="C20" s="54" t="s">
        <v>22</v>
      </c>
      <c r="D20" s="22">
        <f>D16</f>
        <v>0</v>
      </c>
      <c r="E20" s="60">
        <v>1.5</v>
      </c>
      <c r="F20" s="23" t="s">
        <v>9</v>
      </c>
      <c r="G20" s="22">
        <f t="shared" si="0"/>
        <v>0</v>
      </c>
      <c r="H20" s="84" t="s">
        <v>150</v>
      </c>
      <c r="I20" s="42" t="str">
        <f t="shared" si="2"/>
        <v/>
      </c>
      <c r="J20" s="33"/>
    </row>
    <row r="21" spans="1:10" ht="47.25">
      <c r="A21" s="89"/>
      <c r="B21" s="92"/>
      <c r="C21" s="54" t="s">
        <v>10</v>
      </c>
      <c r="D21" s="22">
        <f>ROUND(G20*0.0211,0)</f>
        <v>0</v>
      </c>
      <c r="E21" s="22">
        <v>1</v>
      </c>
      <c r="F21" s="23" t="s">
        <v>23</v>
      </c>
      <c r="G21" s="22">
        <f t="shared" si="0"/>
        <v>0</v>
      </c>
      <c r="H21" s="55" t="s">
        <v>135</v>
      </c>
      <c r="I21" s="42" t="str">
        <f>IF(I20="","",IF(I20="數量輸入錯誤","請檢查年終獎金計算","填寫完畢"))</f>
        <v/>
      </c>
      <c r="J21" s="33"/>
    </row>
    <row r="22" spans="1:10" ht="31.5">
      <c r="A22" s="89"/>
      <c r="B22" s="92" t="s">
        <v>24</v>
      </c>
      <c r="C22" s="54" t="s">
        <v>15</v>
      </c>
      <c r="D22" s="59">
        <v>0</v>
      </c>
      <c r="E22" s="59">
        <v>12</v>
      </c>
      <c r="F22" s="23" t="s">
        <v>9</v>
      </c>
      <c r="G22" s="22">
        <f t="shared" si="0"/>
        <v>0</v>
      </c>
      <c r="H22" s="55" t="s">
        <v>17</v>
      </c>
      <c r="I22" s="42" t="str">
        <f>IF(G22=0,"",IF(AND(D22&gt;0,E22&lt;=12),"填寫完畢","數量輸入錯誤"))</f>
        <v/>
      </c>
      <c r="J22" s="33"/>
    </row>
    <row r="23" spans="1:10">
      <c r="A23" s="89"/>
      <c r="B23" s="92"/>
      <c r="C23" s="54" t="s">
        <v>90</v>
      </c>
      <c r="D23" s="59">
        <v>0</v>
      </c>
      <c r="E23" s="22">
        <f>E22</f>
        <v>12</v>
      </c>
      <c r="F23" s="23" t="s">
        <v>9</v>
      </c>
      <c r="G23" s="22">
        <f t="shared" si="0"/>
        <v>0</v>
      </c>
      <c r="H23" s="101" t="s">
        <v>144</v>
      </c>
      <c r="I23" s="42" t="str">
        <f t="shared" ref="I23:I26" si="3">IF(G23=0,"",IF(AND(D23&gt;0,E23&lt;=12),"填寫完畢","數量輸入錯誤"))</f>
        <v/>
      </c>
      <c r="J23" s="33"/>
    </row>
    <row r="24" spans="1:10">
      <c r="A24" s="89"/>
      <c r="B24" s="92"/>
      <c r="C24" s="54" t="s">
        <v>25</v>
      </c>
      <c r="D24" s="59">
        <v>0</v>
      </c>
      <c r="E24" s="22">
        <f>E22</f>
        <v>12</v>
      </c>
      <c r="F24" s="23" t="s">
        <v>9</v>
      </c>
      <c r="G24" s="22">
        <f t="shared" si="0"/>
        <v>0</v>
      </c>
      <c r="H24" s="101"/>
      <c r="I24" s="42" t="str">
        <f t="shared" si="3"/>
        <v/>
      </c>
      <c r="J24" s="33"/>
    </row>
    <row r="25" spans="1:10" ht="31.5">
      <c r="A25" s="89"/>
      <c r="B25" s="92"/>
      <c r="C25" s="54" t="s">
        <v>20</v>
      </c>
      <c r="D25" s="59">
        <v>0</v>
      </c>
      <c r="E25" s="22">
        <f>E22</f>
        <v>12</v>
      </c>
      <c r="F25" s="23" t="s">
        <v>9</v>
      </c>
      <c r="G25" s="22">
        <f t="shared" si="0"/>
        <v>0</v>
      </c>
      <c r="H25" s="101"/>
      <c r="I25" s="42" t="str">
        <f>IF(E25*D25=0,"",IF(AND(D25&gt;0,E25&lt;=12),"填寫完畢","數量輸入錯誤"))</f>
        <v/>
      </c>
      <c r="J25" s="33"/>
    </row>
    <row r="26" spans="1:10" ht="47.25">
      <c r="A26" s="89"/>
      <c r="B26" s="92"/>
      <c r="C26" s="54" t="s">
        <v>22</v>
      </c>
      <c r="D26" s="22">
        <f>D22</f>
        <v>0</v>
      </c>
      <c r="E26" s="60">
        <v>1.5</v>
      </c>
      <c r="F26" s="23" t="s">
        <v>9</v>
      </c>
      <c r="G26" s="22">
        <f t="shared" si="0"/>
        <v>0</v>
      </c>
      <c r="H26" s="84" t="s">
        <v>150</v>
      </c>
      <c r="I26" s="42" t="str">
        <f t="shared" si="3"/>
        <v/>
      </c>
      <c r="J26" s="33"/>
    </row>
    <row r="27" spans="1:10" ht="47.25">
      <c r="A27" s="89"/>
      <c r="B27" s="92"/>
      <c r="C27" s="54" t="s">
        <v>10</v>
      </c>
      <c r="D27" s="22">
        <f>ROUND(G26*0.0211,0)</f>
        <v>0</v>
      </c>
      <c r="E27" s="22">
        <v>1</v>
      </c>
      <c r="F27" s="10" t="s">
        <v>23</v>
      </c>
      <c r="G27" s="9">
        <f t="shared" si="0"/>
        <v>0</v>
      </c>
      <c r="H27" s="55" t="s">
        <v>135</v>
      </c>
      <c r="I27" s="42" t="str">
        <f>IF(I26="","",IF(I26="數量輸入錯誤","請檢查年終獎金計算","填寫完畢"))</f>
        <v/>
      </c>
      <c r="J27" s="33"/>
    </row>
    <row r="28" spans="1:10" ht="36" customHeight="1">
      <c r="A28" s="89"/>
      <c r="B28" s="92" t="s">
        <v>26</v>
      </c>
      <c r="C28" s="54" t="s">
        <v>15</v>
      </c>
      <c r="D28" s="59">
        <v>5000</v>
      </c>
      <c r="E28" s="59">
        <v>12</v>
      </c>
      <c r="F28" s="23" t="s">
        <v>9</v>
      </c>
      <c r="G28" s="22">
        <f t="shared" si="0"/>
        <v>60000</v>
      </c>
      <c r="H28" s="55" t="s">
        <v>145</v>
      </c>
      <c r="I28" s="42" t="str">
        <f>IF(D28&gt;5000,"單價超過上限",IF(AND(0&lt;D28,D28&lt;=5000),"填寫完畢，請自行檢查數量",IF(D28=0,"")))</f>
        <v>填寫完畢，請自行檢查數量</v>
      </c>
      <c r="J28" s="51"/>
    </row>
    <row r="29" spans="1:10" ht="63">
      <c r="A29" s="89"/>
      <c r="B29" s="92"/>
      <c r="C29" s="54" t="s">
        <v>27</v>
      </c>
      <c r="D29" s="59">
        <v>0</v>
      </c>
      <c r="E29" s="22">
        <f>E28</f>
        <v>12</v>
      </c>
      <c r="F29" s="23" t="s">
        <v>21</v>
      </c>
      <c r="G29" s="22">
        <f t="shared" si="0"/>
        <v>0</v>
      </c>
      <c r="H29" s="55" t="s">
        <v>151</v>
      </c>
      <c r="I29" s="42" t="str">
        <f>IF(D29*E29&gt;0,"填寫完畢，請自行檢查單價","")</f>
        <v/>
      </c>
      <c r="J29" s="51"/>
    </row>
    <row r="30" spans="1:10">
      <c r="A30" s="89"/>
      <c r="B30" s="92"/>
      <c r="C30" s="54" t="s">
        <v>25</v>
      </c>
      <c r="D30" s="59">
        <v>0</v>
      </c>
      <c r="E30" s="22">
        <f>E28</f>
        <v>12</v>
      </c>
      <c r="F30" s="23" t="s">
        <v>9</v>
      </c>
      <c r="G30" s="22">
        <f t="shared" si="0"/>
        <v>0</v>
      </c>
      <c r="H30" s="101" t="s">
        <v>152</v>
      </c>
      <c r="I30" s="42" t="str">
        <f t="shared" ref="I30:I31" si="4">IF(D30*E30&gt;0,"填寫完畢，請自行檢查單價","")</f>
        <v/>
      </c>
      <c r="J30" s="33"/>
    </row>
    <row r="31" spans="1:10" ht="31.5">
      <c r="A31" s="89"/>
      <c r="B31" s="92"/>
      <c r="C31" s="54" t="s">
        <v>20</v>
      </c>
      <c r="D31" s="59">
        <v>0</v>
      </c>
      <c r="E31" s="22">
        <f>E28</f>
        <v>12</v>
      </c>
      <c r="F31" s="23" t="s">
        <v>9</v>
      </c>
      <c r="G31" s="22">
        <f t="shared" si="0"/>
        <v>0</v>
      </c>
      <c r="H31" s="101"/>
      <c r="I31" s="42" t="str">
        <f t="shared" si="4"/>
        <v/>
      </c>
      <c r="J31" s="33"/>
    </row>
    <row r="32" spans="1:10" ht="47.25">
      <c r="A32" s="89"/>
      <c r="B32" s="92" t="s">
        <v>28</v>
      </c>
      <c r="C32" s="54" t="s">
        <v>106</v>
      </c>
      <c r="D32" s="22">
        <v>10000</v>
      </c>
      <c r="E32" s="59">
        <v>6</v>
      </c>
      <c r="F32" s="23" t="s">
        <v>29</v>
      </c>
      <c r="G32" s="22">
        <f t="shared" si="0"/>
        <v>60000</v>
      </c>
      <c r="H32" s="55" t="s">
        <v>100</v>
      </c>
      <c r="I32" s="42" t="str">
        <f>IF(D32*E32&gt;0,"填寫完畢，請自行檢查數量","")</f>
        <v>填寫完畢，請自行檢查數量</v>
      </c>
      <c r="J32" s="33"/>
    </row>
    <row r="33" spans="1:10">
      <c r="A33" s="89"/>
      <c r="B33" s="92"/>
      <c r="C33" s="54" t="s">
        <v>107</v>
      </c>
      <c r="D33" s="22">
        <v>7000</v>
      </c>
      <c r="E33" s="59">
        <v>6</v>
      </c>
      <c r="F33" s="23" t="s">
        <v>29</v>
      </c>
      <c r="G33" s="22">
        <f t="shared" si="0"/>
        <v>42000</v>
      </c>
      <c r="H33" s="55"/>
      <c r="I33" s="42" t="str">
        <f t="shared" ref="I33:I34" si="5">IF(D33*E33&gt;0,"填寫完畢，請自行檢查數量","")</f>
        <v>填寫完畢，請自行檢查數量</v>
      </c>
      <c r="J33" s="33"/>
    </row>
    <row r="34" spans="1:10">
      <c r="A34" s="89"/>
      <c r="B34" s="92"/>
      <c r="C34" s="54" t="s">
        <v>108</v>
      </c>
      <c r="D34" s="22">
        <v>5000</v>
      </c>
      <c r="E34" s="59">
        <v>6</v>
      </c>
      <c r="F34" s="23" t="s">
        <v>29</v>
      </c>
      <c r="G34" s="22">
        <f t="shared" si="0"/>
        <v>30000</v>
      </c>
      <c r="H34" s="55"/>
      <c r="I34" s="42" t="str">
        <f t="shared" si="5"/>
        <v>填寫完畢，請自行檢查數量</v>
      </c>
      <c r="J34" s="33"/>
    </row>
    <row r="35" spans="1:10" ht="63">
      <c r="A35" s="89"/>
      <c r="B35" s="92"/>
      <c r="C35" s="54" t="s">
        <v>126</v>
      </c>
      <c r="D35" s="59">
        <v>0</v>
      </c>
      <c r="E35" s="59">
        <v>6</v>
      </c>
      <c r="F35" s="23" t="s">
        <v>9</v>
      </c>
      <c r="G35" s="22">
        <f t="shared" si="0"/>
        <v>0</v>
      </c>
      <c r="H35" s="55" t="s">
        <v>154</v>
      </c>
      <c r="I35" s="42" t="str">
        <f>IF(D35*E35&gt;0,"填寫完畢，請自行檢查單價及數量","")</f>
        <v/>
      </c>
      <c r="J35" s="33"/>
    </row>
    <row r="36" spans="1:10">
      <c r="A36" s="89"/>
      <c r="B36" s="92"/>
      <c r="C36" s="54" t="s">
        <v>25</v>
      </c>
      <c r="D36" s="59">
        <v>0</v>
      </c>
      <c r="E36" s="59">
        <v>14</v>
      </c>
      <c r="F36" s="23" t="s">
        <v>29</v>
      </c>
      <c r="G36" s="22">
        <f t="shared" si="0"/>
        <v>0</v>
      </c>
      <c r="H36" s="101" t="s">
        <v>144</v>
      </c>
      <c r="I36" s="42" t="str">
        <f>IF(D36*E36&gt;0,"填寫完畢，請自行檢查單價及數量","")</f>
        <v/>
      </c>
      <c r="J36" s="33"/>
    </row>
    <row r="37" spans="1:10" ht="31.5">
      <c r="A37" s="89"/>
      <c r="B37" s="92"/>
      <c r="C37" s="54" t="s">
        <v>20</v>
      </c>
      <c r="D37" s="59">
        <v>0</v>
      </c>
      <c r="E37" s="59">
        <v>14</v>
      </c>
      <c r="F37" s="23" t="s">
        <v>9</v>
      </c>
      <c r="G37" s="22">
        <f t="shared" si="0"/>
        <v>0</v>
      </c>
      <c r="H37" s="101"/>
      <c r="I37" s="42" t="str">
        <f>IF(D37*E37&gt;0,"填寫完畢，請自行檢查單價及數量","")</f>
        <v/>
      </c>
      <c r="J37" s="33"/>
    </row>
    <row r="38" spans="1:10" ht="27" customHeight="1">
      <c r="A38" s="89"/>
      <c r="B38" s="92" t="s">
        <v>111</v>
      </c>
      <c r="C38" s="61"/>
      <c r="D38" s="59"/>
      <c r="E38" s="59"/>
      <c r="F38" s="58"/>
      <c r="G38" s="9">
        <f t="shared" si="0"/>
        <v>0</v>
      </c>
      <c r="H38" s="55"/>
      <c r="I38" s="42"/>
      <c r="J38" s="33"/>
    </row>
    <row r="39" spans="1:10" ht="27" customHeight="1">
      <c r="A39" s="89"/>
      <c r="B39" s="92"/>
      <c r="C39" s="61"/>
      <c r="D39" s="59"/>
      <c r="E39" s="59"/>
      <c r="F39" s="58"/>
      <c r="G39" s="9">
        <f t="shared" si="0"/>
        <v>0</v>
      </c>
      <c r="H39" s="55"/>
      <c r="I39" s="42"/>
      <c r="J39" s="33"/>
    </row>
    <row r="40" spans="1:10" ht="31.5">
      <c r="A40" s="89"/>
      <c r="B40" s="98" t="s">
        <v>124</v>
      </c>
      <c r="C40" s="98"/>
      <c r="D40" s="98"/>
      <c r="E40" s="98"/>
      <c r="F40" s="98"/>
      <c r="G40" s="57">
        <f>SUM(G10:G37)</f>
        <v>400320</v>
      </c>
      <c r="H40" s="29" t="s">
        <v>30</v>
      </c>
      <c r="I40" s="78"/>
      <c r="J40" s="77"/>
    </row>
    <row r="41" spans="1:10">
      <c r="A41" s="89"/>
      <c r="B41" s="98" t="s">
        <v>31</v>
      </c>
      <c r="C41" s="98"/>
      <c r="D41" s="98"/>
      <c r="E41" s="98"/>
      <c r="F41" s="98"/>
      <c r="G41" s="24">
        <f>SUM(G38:G39)</f>
        <v>0</v>
      </c>
      <c r="H41" s="29"/>
      <c r="I41" s="45"/>
      <c r="J41" s="32"/>
    </row>
    <row r="42" spans="1:10" ht="47.25">
      <c r="A42" s="90" t="s">
        <v>115</v>
      </c>
      <c r="B42" s="100" t="s">
        <v>32</v>
      </c>
      <c r="C42" s="100"/>
      <c r="D42" s="62">
        <v>2500</v>
      </c>
      <c r="E42" s="63">
        <v>10</v>
      </c>
      <c r="F42" s="23" t="s">
        <v>33</v>
      </c>
      <c r="G42" s="25">
        <f>D42*E42</f>
        <v>25000</v>
      </c>
      <c r="H42" s="13" t="s">
        <v>91</v>
      </c>
      <c r="I42" s="42" t="str">
        <f>IF(D42&gt;2500,"單價超過上限",IF(AND(D42&lt;=2500,D42*E42&gt;0),"填寫完畢",""))</f>
        <v>填寫完畢</v>
      </c>
      <c r="J42" s="33"/>
    </row>
    <row r="43" spans="1:10" ht="31.5">
      <c r="A43" s="90"/>
      <c r="B43" s="92" t="s">
        <v>99</v>
      </c>
      <c r="C43" s="15" t="s">
        <v>97</v>
      </c>
      <c r="D43" s="62">
        <v>0</v>
      </c>
      <c r="E43" s="62">
        <v>0</v>
      </c>
      <c r="F43" s="23" t="s">
        <v>34</v>
      </c>
      <c r="G43" s="25">
        <f t="shared" ref="G43:G48" si="6">D43*E43</f>
        <v>0</v>
      </c>
      <c r="H43" s="14" t="s">
        <v>92</v>
      </c>
      <c r="I43" s="42" t="str">
        <f>IF(D43&gt;2000,"單價超過上限",IF(AND(D43&lt;=2500,D43*E43&gt;0),"填寫完畢",""))</f>
        <v/>
      </c>
      <c r="J43" s="33"/>
    </row>
    <row r="44" spans="1:10" ht="31.5">
      <c r="A44" s="90"/>
      <c r="B44" s="92"/>
      <c r="C44" s="15" t="s">
        <v>98</v>
      </c>
      <c r="D44" s="62">
        <v>0</v>
      </c>
      <c r="E44" s="62">
        <v>0</v>
      </c>
      <c r="F44" s="23" t="s">
        <v>34</v>
      </c>
      <c r="G44" s="25">
        <f t="shared" si="6"/>
        <v>0</v>
      </c>
      <c r="H44" s="14" t="s">
        <v>93</v>
      </c>
      <c r="I44" s="42" t="str">
        <f>IF(D44&gt;1000,"單價超過上限",IF(AND(D44&lt;=2500,D44*E44&gt;0),"填寫完畢",""))</f>
        <v/>
      </c>
      <c r="J44" s="33"/>
    </row>
    <row r="45" spans="1:10" ht="34.5" customHeight="1">
      <c r="A45" s="90"/>
      <c r="B45" s="92" t="s">
        <v>35</v>
      </c>
      <c r="C45" s="15" t="s">
        <v>36</v>
      </c>
      <c r="D45" s="64"/>
      <c r="E45" s="64"/>
      <c r="F45" s="23" t="s">
        <v>34</v>
      </c>
      <c r="G45" s="25">
        <f t="shared" si="6"/>
        <v>0</v>
      </c>
      <c r="H45" s="110" t="s">
        <v>149</v>
      </c>
      <c r="I45" s="42" t="str">
        <f>IF(D45*E45&gt;0,"填寫完畢，請自行檢查單價、數量","")</f>
        <v/>
      </c>
      <c r="J45" s="51"/>
    </row>
    <row r="46" spans="1:10" ht="33" customHeight="1">
      <c r="A46" s="90"/>
      <c r="B46" s="92"/>
      <c r="C46" s="15" t="s">
        <v>37</v>
      </c>
      <c r="D46" s="64"/>
      <c r="E46" s="64"/>
      <c r="F46" s="23" t="s">
        <v>34</v>
      </c>
      <c r="G46" s="25">
        <f t="shared" si="6"/>
        <v>0</v>
      </c>
      <c r="H46" s="110"/>
      <c r="I46" s="42" t="str">
        <f t="shared" ref="I46:I47" si="7">IF(D46*E46&gt;0,"填寫完畢，請自行檢查單價、數量","")</f>
        <v/>
      </c>
      <c r="J46" s="33"/>
    </row>
    <row r="47" spans="1:10" ht="35.25" customHeight="1">
      <c r="A47" s="90"/>
      <c r="B47" s="92"/>
      <c r="C47" s="15" t="s">
        <v>38</v>
      </c>
      <c r="D47" s="64"/>
      <c r="E47" s="64"/>
      <c r="F47" s="23" t="s">
        <v>34</v>
      </c>
      <c r="G47" s="25">
        <f t="shared" si="6"/>
        <v>0</v>
      </c>
      <c r="H47" s="110"/>
      <c r="I47" s="42" t="str">
        <f t="shared" si="7"/>
        <v/>
      </c>
      <c r="J47" s="33"/>
    </row>
    <row r="48" spans="1:10" ht="63">
      <c r="A48" s="90"/>
      <c r="B48" s="105" t="s">
        <v>39</v>
      </c>
      <c r="C48" s="105"/>
      <c r="D48" s="62">
        <v>0</v>
      </c>
      <c r="E48" s="62">
        <v>0</v>
      </c>
      <c r="F48" s="23" t="s">
        <v>40</v>
      </c>
      <c r="G48" s="25">
        <f t="shared" si="6"/>
        <v>0</v>
      </c>
      <c r="H48" s="83" t="s">
        <v>148</v>
      </c>
      <c r="I48" s="42" t="str">
        <f>IF(D48*E48&gt;0,"填寫完畢，請檢查單價、數量","")</f>
        <v/>
      </c>
      <c r="J48" s="33"/>
    </row>
    <row r="49" spans="1:10" ht="110.25">
      <c r="A49" s="90"/>
      <c r="B49" s="106" t="s">
        <v>41</v>
      </c>
      <c r="C49" s="106"/>
      <c r="D49" s="80">
        <v>160</v>
      </c>
      <c r="E49" s="62">
        <v>0</v>
      </c>
      <c r="F49" s="26" t="s">
        <v>42</v>
      </c>
      <c r="G49" s="25">
        <f>ROUND(D49*E49,0)</f>
        <v>0</v>
      </c>
      <c r="H49" s="14" t="s">
        <v>43</v>
      </c>
      <c r="I49" s="42" t="str">
        <f>IF(E49&gt;0,"填寫完畢，請檢查數量","")</f>
        <v/>
      </c>
      <c r="J49" s="33"/>
    </row>
    <row r="50" spans="1:10" ht="31.5">
      <c r="A50" s="90"/>
      <c r="B50" s="107" t="s">
        <v>44</v>
      </c>
      <c r="C50" s="107"/>
      <c r="D50" s="22">
        <f>SUM(G42:G49)</f>
        <v>25000</v>
      </c>
      <c r="E50" s="22">
        <v>1</v>
      </c>
      <c r="F50" s="26" t="s">
        <v>45</v>
      </c>
      <c r="G50" s="22">
        <f>SUM(G42:G49)</f>
        <v>25000</v>
      </c>
      <c r="H50" s="17" t="s">
        <v>128</v>
      </c>
      <c r="I50" s="45"/>
      <c r="J50" s="33"/>
    </row>
    <row r="51" spans="1:10">
      <c r="A51" s="90"/>
      <c r="B51" s="108" t="s">
        <v>10</v>
      </c>
      <c r="C51" s="108"/>
      <c r="D51" s="22">
        <f>ROUND(D50*0.0211,0)</f>
        <v>528</v>
      </c>
      <c r="E51" s="22">
        <v>1</v>
      </c>
      <c r="F51" s="26" t="s">
        <v>46</v>
      </c>
      <c r="G51" s="22">
        <f>D51*E51</f>
        <v>528</v>
      </c>
      <c r="H51" s="79" t="s">
        <v>138</v>
      </c>
      <c r="I51" s="44"/>
      <c r="J51" s="33"/>
    </row>
    <row r="52" spans="1:10" ht="63">
      <c r="A52" s="90"/>
      <c r="B52" s="100" t="s">
        <v>47</v>
      </c>
      <c r="C52" s="100"/>
      <c r="D52" s="65">
        <v>0</v>
      </c>
      <c r="E52" s="66">
        <v>0</v>
      </c>
      <c r="F52" s="26" t="s">
        <v>48</v>
      </c>
      <c r="G52" s="26">
        <f>D52*E52</f>
        <v>0</v>
      </c>
      <c r="H52" s="83" t="s">
        <v>146</v>
      </c>
      <c r="I52" s="42" t="str">
        <f>IF(D52*E52&gt;0,"填寫完畢，請檢查單價、數量","")</f>
        <v/>
      </c>
      <c r="J52" s="34"/>
    </row>
    <row r="53" spans="1:10" ht="63">
      <c r="A53" s="90"/>
      <c r="B53" s="100" t="s">
        <v>49</v>
      </c>
      <c r="C53" s="100"/>
      <c r="D53" s="65">
        <v>0</v>
      </c>
      <c r="E53" s="66">
        <v>0</v>
      </c>
      <c r="F53" s="26" t="s">
        <v>48</v>
      </c>
      <c r="G53" s="26">
        <f t="shared" ref="G53:G80" si="8">D53*E53</f>
        <v>0</v>
      </c>
      <c r="H53" s="83" t="s">
        <v>147</v>
      </c>
      <c r="I53" s="42" t="str">
        <f>IF(D53*E53&gt;0,"填寫完畢，請檢查單價、數量","")</f>
        <v/>
      </c>
      <c r="J53" s="34"/>
    </row>
    <row r="54" spans="1:10" ht="35.25" customHeight="1">
      <c r="A54" s="90"/>
      <c r="B54" s="111" t="s">
        <v>139</v>
      </c>
      <c r="C54" s="15" t="s">
        <v>140</v>
      </c>
      <c r="D54" s="64">
        <v>1000</v>
      </c>
      <c r="E54" s="64">
        <v>1</v>
      </c>
      <c r="F54" s="23" t="s">
        <v>34</v>
      </c>
      <c r="G54" s="25">
        <f>D54*E54</f>
        <v>1000</v>
      </c>
      <c r="H54" s="82" t="s">
        <v>141</v>
      </c>
      <c r="I54" s="42" t="str">
        <f>IF(D54*E54&gt;0,"填寫完畢，請自行檢查單價、數量","")</f>
        <v>填寫完畢，請自行檢查單價、數量</v>
      </c>
      <c r="J54" s="33"/>
    </row>
    <row r="55" spans="1:10" ht="31.5">
      <c r="A55" s="90"/>
      <c r="B55" s="112"/>
      <c r="C55" s="15" t="s">
        <v>27</v>
      </c>
      <c r="D55" s="64"/>
      <c r="E55" s="64"/>
      <c r="F55" s="23" t="s">
        <v>142</v>
      </c>
      <c r="G55" s="25">
        <f t="shared" ref="G55:G57" si="9">D55*E55</f>
        <v>0</v>
      </c>
      <c r="H55" s="81" t="s">
        <v>143</v>
      </c>
      <c r="I55" s="42" t="str">
        <f>IF(D55*E55&gt;0,"填寫完畢，請自行檢查單價、數量","")</f>
        <v/>
      </c>
      <c r="J55" s="33"/>
    </row>
    <row r="56" spans="1:10" ht="20.25" customHeight="1">
      <c r="A56" s="90"/>
      <c r="B56" s="112"/>
      <c r="C56" s="15" t="s">
        <v>19</v>
      </c>
      <c r="D56" s="64"/>
      <c r="E56" s="64"/>
      <c r="F56" s="23" t="s">
        <v>142</v>
      </c>
      <c r="G56" s="25">
        <f t="shared" si="9"/>
        <v>0</v>
      </c>
      <c r="H56" s="114" t="s">
        <v>144</v>
      </c>
      <c r="I56" s="42" t="str">
        <f>IF(D56*E56&gt;0,"填寫完畢，請自行檢查單價、數量","")</f>
        <v/>
      </c>
      <c r="J56" s="33"/>
    </row>
    <row r="57" spans="1:10" ht="37.5" customHeight="1">
      <c r="A57" s="90"/>
      <c r="B57" s="113"/>
      <c r="C57" s="15" t="s">
        <v>20</v>
      </c>
      <c r="D57" s="64"/>
      <c r="E57" s="64"/>
      <c r="F57" s="23" t="s">
        <v>142</v>
      </c>
      <c r="G57" s="25">
        <f t="shared" si="9"/>
        <v>0</v>
      </c>
      <c r="H57" s="115"/>
      <c r="I57" s="42" t="str">
        <f>IF(D57*E57&gt;0,"填寫完畢，請自行檢查單價、數量","")</f>
        <v/>
      </c>
      <c r="J57" s="33"/>
    </row>
    <row r="58" spans="1:10" ht="39.75" customHeight="1">
      <c r="A58" s="90"/>
      <c r="B58" s="100" t="s">
        <v>50</v>
      </c>
      <c r="C58" s="100"/>
      <c r="D58" s="65">
        <v>0</v>
      </c>
      <c r="E58" s="27">
        <v>1</v>
      </c>
      <c r="F58" s="26" t="s">
        <v>46</v>
      </c>
      <c r="G58" s="26">
        <f t="shared" si="8"/>
        <v>0</v>
      </c>
      <c r="H58" s="74" t="s">
        <v>125</v>
      </c>
      <c r="I58" s="42" t="str">
        <f>IF(D58&gt;0,"填寫完畢，請於說明欄註明計算方式","")</f>
        <v/>
      </c>
      <c r="J58" s="34"/>
    </row>
    <row r="59" spans="1:10" ht="31.5">
      <c r="A59" s="90"/>
      <c r="B59" s="92" t="s">
        <v>51</v>
      </c>
      <c r="C59" s="92"/>
      <c r="D59" s="65">
        <v>0</v>
      </c>
      <c r="E59" s="26">
        <v>1</v>
      </c>
      <c r="F59" s="26" t="s">
        <v>46</v>
      </c>
      <c r="G59" s="26">
        <f t="shared" si="8"/>
        <v>0</v>
      </c>
      <c r="H59" s="14" t="s">
        <v>52</v>
      </c>
      <c r="I59" s="42" t="str">
        <f>IF(D59&gt;30000,"單價超過上限",IF(AND(0&lt;D59,D59&lt;=30000),"填寫完畢",IF(D59=0,"")))</f>
        <v/>
      </c>
      <c r="J59" s="33"/>
    </row>
    <row r="60" spans="1:10">
      <c r="A60" s="90"/>
      <c r="B60" s="92" t="s">
        <v>53</v>
      </c>
      <c r="C60" s="92"/>
      <c r="D60" s="65">
        <v>0</v>
      </c>
      <c r="E60" s="26">
        <v>1</v>
      </c>
      <c r="F60" s="26" t="s">
        <v>46</v>
      </c>
      <c r="G60" s="26">
        <f t="shared" si="8"/>
        <v>0</v>
      </c>
      <c r="H60" s="14"/>
      <c r="I60" s="42" t="str">
        <f>IF(D60&gt;0,"填寫完畢，請於說明欄註明計算方式","")</f>
        <v/>
      </c>
      <c r="J60" s="33"/>
    </row>
    <row r="61" spans="1:10">
      <c r="A61" s="90"/>
      <c r="B61" s="100" t="s">
        <v>54</v>
      </c>
      <c r="C61" s="52" t="s">
        <v>55</v>
      </c>
      <c r="D61" s="26">
        <v>80</v>
      </c>
      <c r="E61" s="66">
        <v>0</v>
      </c>
      <c r="F61" s="26" t="s">
        <v>56</v>
      </c>
      <c r="G61" s="26">
        <f t="shared" si="8"/>
        <v>0</v>
      </c>
      <c r="H61" s="95" t="s">
        <v>57</v>
      </c>
      <c r="I61" s="42" t="str">
        <f>IF(E61&gt;0,"填寫完畢，請檢查數量","")</f>
        <v/>
      </c>
      <c r="J61" s="33"/>
    </row>
    <row r="62" spans="1:10">
      <c r="A62" s="90"/>
      <c r="B62" s="100"/>
      <c r="C62" s="52" t="s">
        <v>58</v>
      </c>
      <c r="D62" s="26">
        <v>40</v>
      </c>
      <c r="E62" s="66">
        <v>0</v>
      </c>
      <c r="F62" s="26" t="s">
        <v>59</v>
      </c>
      <c r="G62" s="26">
        <f t="shared" si="8"/>
        <v>0</v>
      </c>
      <c r="H62" s="95"/>
      <c r="I62" s="42" t="str">
        <f>IF(E62&gt;0,"填寫完畢，請檢查數量","")</f>
        <v/>
      </c>
      <c r="J62" s="33"/>
    </row>
    <row r="63" spans="1:10" ht="25.5" customHeight="1">
      <c r="A63" s="90"/>
      <c r="B63" s="100" t="s">
        <v>60</v>
      </c>
      <c r="C63" s="52" t="s">
        <v>61</v>
      </c>
      <c r="D63" s="65">
        <v>0</v>
      </c>
      <c r="E63" s="66">
        <v>0</v>
      </c>
      <c r="F63" s="26" t="s">
        <v>62</v>
      </c>
      <c r="G63" s="26">
        <f t="shared" si="8"/>
        <v>0</v>
      </c>
      <c r="H63" s="101" t="s">
        <v>153</v>
      </c>
      <c r="I63" s="42" t="str">
        <f>IF(D63*E63&gt;0,"填寫完畢，請檢查單價、數量","")</f>
        <v/>
      </c>
      <c r="J63" s="33"/>
    </row>
    <row r="64" spans="1:10" ht="25.5" customHeight="1">
      <c r="A64" s="90"/>
      <c r="B64" s="100"/>
      <c r="C64" s="52" t="s">
        <v>63</v>
      </c>
      <c r="D64" s="26">
        <v>2000</v>
      </c>
      <c r="E64" s="66">
        <v>0</v>
      </c>
      <c r="F64" s="26" t="s">
        <v>64</v>
      </c>
      <c r="G64" s="26">
        <f t="shared" si="8"/>
        <v>0</v>
      </c>
      <c r="H64" s="101"/>
      <c r="I64" s="42" t="str">
        <f>IF(E64&gt;0,"填寫完畢，請檢查單價、數量","")</f>
        <v/>
      </c>
      <c r="J64" s="33"/>
    </row>
    <row r="65" spans="1:10" ht="25.5" customHeight="1">
      <c r="A65" s="90"/>
      <c r="B65" s="100"/>
      <c r="C65" s="52" t="s">
        <v>65</v>
      </c>
      <c r="D65" s="65">
        <v>0</v>
      </c>
      <c r="E65" s="66">
        <v>0</v>
      </c>
      <c r="F65" s="26" t="s">
        <v>62</v>
      </c>
      <c r="G65" s="26">
        <f t="shared" si="8"/>
        <v>0</v>
      </c>
      <c r="H65" s="101"/>
      <c r="I65" s="42" t="str">
        <f>IF(D65*E65&gt;0,"填寫完畢，請檢查單價、數量","")</f>
        <v/>
      </c>
      <c r="J65" s="33"/>
    </row>
    <row r="66" spans="1:10" ht="25.5" customHeight="1">
      <c r="A66" s="90"/>
      <c r="B66" s="100" t="s">
        <v>66</v>
      </c>
      <c r="C66" s="52" t="s">
        <v>61</v>
      </c>
      <c r="D66" s="65"/>
      <c r="E66" s="66"/>
      <c r="F66" s="26" t="s">
        <v>62</v>
      </c>
      <c r="G66" s="26">
        <f t="shared" si="8"/>
        <v>0</v>
      </c>
      <c r="H66" s="101"/>
      <c r="I66" s="42" t="str">
        <f t="shared" ref="I66" si="10">IF(OR(D66&gt;0,E66&gt;0),"填寫完畢，請檢查單價、數量","")</f>
        <v/>
      </c>
      <c r="J66" s="33"/>
    </row>
    <row r="67" spans="1:10" ht="25.5" customHeight="1">
      <c r="A67" s="90"/>
      <c r="B67" s="100"/>
      <c r="C67" s="52" t="s">
        <v>63</v>
      </c>
      <c r="D67" s="16">
        <v>2000</v>
      </c>
      <c r="E67" s="66"/>
      <c r="F67" s="26" t="s">
        <v>64</v>
      </c>
      <c r="G67" s="26">
        <f t="shared" si="8"/>
        <v>0</v>
      </c>
      <c r="H67" s="101"/>
      <c r="I67" s="42" t="str">
        <f>IF(E67&gt;0,"填寫完畢，請檢查單價、數量","")</f>
        <v/>
      </c>
      <c r="J67" s="33"/>
    </row>
    <row r="68" spans="1:10" ht="25.5" customHeight="1">
      <c r="A68" s="90"/>
      <c r="B68" s="100"/>
      <c r="C68" s="52" t="s">
        <v>67</v>
      </c>
      <c r="D68" s="26">
        <v>400</v>
      </c>
      <c r="E68" s="66"/>
      <c r="F68" s="26" t="s">
        <v>64</v>
      </c>
      <c r="G68" s="26">
        <f t="shared" si="8"/>
        <v>0</v>
      </c>
      <c r="H68" s="101"/>
      <c r="I68" s="42" t="str">
        <f>IF(E68&gt;0,"填寫完畢，請檢查單價、數量","")</f>
        <v/>
      </c>
      <c r="J68" s="33"/>
    </row>
    <row r="69" spans="1:10" ht="25.5" customHeight="1">
      <c r="A69" s="90"/>
      <c r="B69" s="100"/>
      <c r="C69" s="52" t="s">
        <v>65</v>
      </c>
      <c r="D69" s="65"/>
      <c r="E69" s="66"/>
      <c r="F69" s="26" t="s">
        <v>59</v>
      </c>
      <c r="G69" s="26">
        <f t="shared" si="8"/>
        <v>0</v>
      </c>
      <c r="H69" s="101"/>
      <c r="I69" s="42" t="str">
        <f t="shared" ref="I69:I78" si="11">IF(AND(D69&gt;0,E69&gt;0),"填寫完畢，請檢查單價、數量","")</f>
        <v/>
      </c>
      <c r="J69" s="33"/>
    </row>
    <row r="70" spans="1:10">
      <c r="A70" s="90"/>
      <c r="B70" s="100" t="s">
        <v>68</v>
      </c>
      <c r="C70" s="100"/>
      <c r="D70" s="65"/>
      <c r="E70" s="66"/>
      <c r="F70" s="26" t="s">
        <v>69</v>
      </c>
      <c r="G70" s="26">
        <f t="shared" si="8"/>
        <v>0</v>
      </c>
      <c r="H70" s="14"/>
      <c r="I70" s="42" t="str">
        <f t="shared" si="11"/>
        <v/>
      </c>
      <c r="J70" s="33"/>
    </row>
    <row r="71" spans="1:10" ht="31.5">
      <c r="A71" s="90"/>
      <c r="B71" s="100" t="s">
        <v>70</v>
      </c>
      <c r="C71" s="100"/>
      <c r="D71" s="65"/>
      <c r="E71" s="66"/>
      <c r="F71" s="26" t="s">
        <v>131</v>
      </c>
      <c r="G71" s="26">
        <f t="shared" si="8"/>
        <v>0</v>
      </c>
      <c r="H71" s="14" t="s">
        <v>110</v>
      </c>
      <c r="I71" s="42" t="str">
        <f t="shared" si="11"/>
        <v/>
      </c>
      <c r="J71" s="33"/>
    </row>
    <row r="72" spans="1:10" ht="63">
      <c r="A72" s="90"/>
      <c r="B72" s="100" t="s">
        <v>71</v>
      </c>
      <c r="C72" s="100"/>
      <c r="D72" s="65"/>
      <c r="E72" s="66"/>
      <c r="F72" s="26" t="s">
        <v>72</v>
      </c>
      <c r="G72" s="26">
        <f t="shared" si="8"/>
        <v>0</v>
      </c>
      <c r="H72" s="14" t="s">
        <v>73</v>
      </c>
      <c r="I72" s="42" t="str">
        <f t="shared" si="11"/>
        <v/>
      </c>
      <c r="J72" s="33"/>
    </row>
    <row r="73" spans="1:10" ht="31.5">
      <c r="A73" s="90"/>
      <c r="B73" s="102" t="s">
        <v>74</v>
      </c>
      <c r="C73" s="103"/>
      <c r="D73" s="65"/>
      <c r="E73" s="65"/>
      <c r="F73" s="65"/>
      <c r="G73" s="26">
        <f t="shared" si="8"/>
        <v>0</v>
      </c>
      <c r="H73" s="14" t="s">
        <v>75</v>
      </c>
      <c r="I73" s="42" t="str">
        <f t="shared" si="11"/>
        <v/>
      </c>
      <c r="J73" s="33"/>
    </row>
    <row r="74" spans="1:10" ht="35.25" customHeight="1">
      <c r="A74" s="90"/>
      <c r="B74" s="104" t="s">
        <v>76</v>
      </c>
      <c r="C74" s="53" t="s">
        <v>77</v>
      </c>
      <c r="D74" s="65"/>
      <c r="E74" s="65"/>
      <c r="F74" s="27" t="s">
        <v>78</v>
      </c>
      <c r="G74" s="26">
        <f t="shared" si="8"/>
        <v>0</v>
      </c>
      <c r="H74" s="99" t="s">
        <v>130</v>
      </c>
      <c r="I74" s="42" t="str">
        <f>IF(E74=0,"",IF(E74&lt;=4,"填寫完畢",IF(E74&gt;4,"超過編列上限")))</f>
        <v/>
      </c>
      <c r="J74" s="33"/>
    </row>
    <row r="75" spans="1:10" ht="31.5">
      <c r="A75" s="90"/>
      <c r="B75" s="104"/>
      <c r="C75" s="53" t="s">
        <v>117</v>
      </c>
      <c r="D75" s="26">
        <v>10695</v>
      </c>
      <c r="E75" s="65"/>
      <c r="F75" s="27" t="s">
        <v>79</v>
      </c>
      <c r="G75" s="26">
        <f t="shared" si="8"/>
        <v>0</v>
      </c>
      <c r="H75" s="99"/>
      <c r="I75" s="42" t="str">
        <f t="shared" si="11"/>
        <v/>
      </c>
      <c r="J75" s="33"/>
    </row>
    <row r="76" spans="1:10">
      <c r="A76" s="90"/>
      <c r="B76" s="104"/>
      <c r="C76" s="53" t="s">
        <v>118</v>
      </c>
      <c r="D76" s="26">
        <v>8915</v>
      </c>
      <c r="E76" s="65"/>
      <c r="F76" s="27" t="s">
        <v>79</v>
      </c>
      <c r="G76" s="26">
        <f t="shared" si="8"/>
        <v>0</v>
      </c>
      <c r="H76" s="99"/>
      <c r="I76" s="42" t="str">
        <f t="shared" si="11"/>
        <v/>
      </c>
      <c r="J76" s="33"/>
    </row>
    <row r="77" spans="1:10">
      <c r="A77" s="90"/>
      <c r="B77" s="104"/>
      <c r="C77" s="53" t="s">
        <v>119</v>
      </c>
      <c r="D77" s="26">
        <v>7130</v>
      </c>
      <c r="E77" s="65"/>
      <c r="F77" s="27" t="s">
        <v>79</v>
      </c>
      <c r="G77" s="26">
        <f t="shared" si="8"/>
        <v>0</v>
      </c>
      <c r="H77" s="99"/>
      <c r="I77" s="42" t="str">
        <f t="shared" si="11"/>
        <v/>
      </c>
      <c r="J77" s="33"/>
    </row>
    <row r="78" spans="1:10">
      <c r="A78" s="90"/>
      <c r="B78" s="104"/>
      <c r="C78" s="53" t="s">
        <v>120</v>
      </c>
      <c r="D78" s="26">
        <v>5350</v>
      </c>
      <c r="E78" s="65"/>
      <c r="F78" s="27" t="s">
        <v>79</v>
      </c>
      <c r="G78" s="26">
        <f t="shared" si="8"/>
        <v>0</v>
      </c>
      <c r="H78" s="99"/>
      <c r="I78" s="42" t="str">
        <f t="shared" si="11"/>
        <v/>
      </c>
      <c r="J78" s="33"/>
    </row>
    <row r="79" spans="1:10" ht="30.75" customHeight="1">
      <c r="A79" s="90"/>
      <c r="B79" s="104"/>
      <c r="C79" s="53" t="s">
        <v>80</v>
      </c>
      <c r="D79" s="65"/>
      <c r="E79" s="65"/>
      <c r="F79" s="27" t="s">
        <v>33</v>
      </c>
      <c r="G79" s="26">
        <f t="shared" si="8"/>
        <v>0</v>
      </c>
      <c r="H79" s="99"/>
      <c r="I79" s="42" t="str">
        <f>IF(AND(D79&gt;0,E79&gt;0),"填寫完畢，請檢查單價、數量","")</f>
        <v/>
      </c>
      <c r="J79" s="33"/>
    </row>
    <row r="80" spans="1:10" ht="93.75" customHeight="1">
      <c r="A80" s="90"/>
      <c r="B80" s="104"/>
      <c r="C80" s="53" t="s">
        <v>81</v>
      </c>
      <c r="D80" s="65"/>
      <c r="E80" s="65">
        <v>0</v>
      </c>
      <c r="F80" s="27" t="s">
        <v>82</v>
      </c>
      <c r="G80" s="26">
        <f t="shared" si="8"/>
        <v>0</v>
      </c>
      <c r="H80" s="99"/>
      <c r="I80" s="42" t="str">
        <f>IF(SUM(G74:G80)=0,"",IF(SUM(G74:G80)&lt;=300000,"填寫完畢",IF(SUM(G74:G80)&gt;300000,"超過編列上限")))</f>
        <v/>
      </c>
      <c r="J80" s="33"/>
    </row>
    <row r="81" spans="1:10">
      <c r="A81" s="90"/>
      <c r="B81" s="41"/>
      <c r="C81" s="19"/>
      <c r="D81" s="18"/>
      <c r="E81" s="18"/>
      <c r="F81" s="20"/>
      <c r="G81" s="11">
        <f>D81*E81</f>
        <v>0</v>
      </c>
      <c r="H81" s="14"/>
      <c r="I81" s="46"/>
      <c r="J81" s="33"/>
    </row>
    <row r="82" spans="1:10">
      <c r="A82" s="90"/>
      <c r="B82" s="19"/>
      <c r="C82" s="19"/>
      <c r="D82" s="18"/>
      <c r="E82" s="18"/>
      <c r="F82" s="20"/>
      <c r="G82" s="11">
        <f>D82*E82</f>
        <v>0</v>
      </c>
      <c r="H82" s="14"/>
      <c r="I82" s="46"/>
      <c r="J82" s="33"/>
    </row>
    <row r="83" spans="1:10" ht="78.75">
      <c r="A83" s="90"/>
      <c r="B83" s="96" t="s">
        <v>112</v>
      </c>
      <c r="C83" s="97"/>
      <c r="D83" s="65"/>
      <c r="E83" s="26">
        <v>1</v>
      </c>
      <c r="F83" s="27" t="s">
        <v>82</v>
      </c>
      <c r="G83" s="22">
        <f>D83</f>
        <v>0</v>
      </c>
      <c r="H83" s="14" t="s">
        <v>83</v>
      </c>
      <c r="I83" s="46" t="str">
        <f>IF(D83=0,"",IF(D83&lt;=G87*6%,"填寫完畢",IF(D83&gt;G87*6%,"雜支超過上限，請調整")))</f>
        <v/>
      </c>
      <c r="J83" s="33"/>
    </row>
    <row r="84" spans="1:10">
      <c r="A84" s="90"/>
      <c r="B84" s="92" t="s">
        <v>111</v>
      </c>
      <c r="C84" s="15"/>
      <c r="D84" s="18"/>
      <c r="E84" s="18">
        <v>1</v>
      </c>
      <c r="F84" s="20" t="s">
        <v>82</v>
      </c>
      <c r="G84" s="11">
        <f>D84*E84</f>
        <v>0</v>
      </c>
      <c r="H84" s="14"/>
      <c r="I84" s="46"/>
      <c r="J84" s="33"/>
    </row>
    <row r="85" spans="1:10">
      <c r="A85" s="90"/>
      <c r="B85" s="92"/>
      <c r="C85" s="15"/>
      <c r="D85" s="18"/>
      <c r="E85" s="18"/>
      <c r="F85" s="20"/>
      <c r="G85" s="11">
        <f t="shared" ref="G85:G86" si="12">D85*E85</f>
        <v>0</v>
      </c>
      <c r="H85" s="14"/>
      <c r="I85" s="46"/>
      <c r="J85" s="33"/>
    </row>
    <row r="86" spans="1:10">
      <c r="A86" s="90"/>
      <c r="B86" s="92"/>
      <c r="C86" s="15"/>
      <c r="D86" s="18"/>
      <c r="E86" s="18"/>
      <c r="F86" s="20"/>
      <c r="G86" s="11">
        <f t="shared" si="12"/>
        <v>0</v>
      </c>
      <c r="H86" s="14"/>
      <c r="I86" s="46"/>
      <c r="J86" s="33"/>
    </row>
    <row r="87" spans="1:10">
      <c r="A87" s="90"/>
      <c r="B87" s="98" t="s">
        <v>84</v>
      </c>
      <c r="C87" s="98"/>
      <c r="D87" s="98"/>
      <c r="E87" s="98"/>
      <c r="F87" s="98"/>
      <c r="G87" s="57">
        <f>SUM(G42:G83)-G50</f>
        <v>26528</v>
      </c>
      <c r="H87" s="21"/>
      <c r="I87" s="43"/>
      <c r="J87" s="32"/>
    </row>
    <row r="88" spans="1:10">
      <c r="A88" s="90"/>
      <c r="B88" s="98" t="s">
        <v>85</v>
      </c>
      <c r="C88" s="98"/>
      <c r="D88" s="98"/>
      <c r="E88" s="98"/>
      <c r="F88" s="98"/>
      <c r="G88" s="24">
        <f>SUM(G84:G86)</f>
        <v>0</v>
      </c>
      <c r="H88" s="21"/>
      <c r="I88" s="43"/>
      <c r="J88" s="32"/>
    </row>
    <row r="89" spans="1:10" ht="47.25">
      <c r="A89" s="90" t="s">
        <v>116</v>
      </c>
      <c r="B89" s="95"/>
      <c r="C89" s="95"/>
      <c r="D89" s="11"/>
      <c r="E89" s="11">
        <v>1</v>
      </c>
      <c r="F89" s="12" t="s">
        <v>82</v>
      </c>
      <c r="G89" s="11">
        <f>D89*E89</f>
        <v>0</v>
      </c>
      <c r="H89" s="14" t="s">
        <v>86</v>
      </c>
      <c r="I89" s="46"/>
      <c r="J89" s="33"/>
    </row>
    <row r="90" spans="1:10">
      <c r="A90" s="90"/>
      <c r="B90" s="95"/>
      <c r="C90" s="95"/>
      <c r="D90" s="11"/>
      <c r="E90" s="11"/>
      <c r="F90" s="12"/>
      <c r="G90" s="11">
        <f t="shared" ref="G90:G93" si="13">D90*E90</f>
        <v>0</v>
      </c>
      <c r="H90" s="14"/>
      <c r="I90" s="46"/>
      <c r="J90" s="33"/>
    </row>
    <row r="91" spans="1:10">
      <c r="A91" s="90"/>
      <c r="B91" s="92" t="s">
        <v>111</v>
      </c>
      <c r="C91" s="14"/>
      <c r="D91" s="11"/>
      <c r="E91" s="11"/>
      <c r="F91" s="12"/>
      <c r="G91" s="11">
        <f t="shared" si="13"/>
        <v>0</v>
      </c>
      <c r="H91" s="14"/>
      <c r="I91" s="46"/>
      <c r="J91" s="33"/>
    </row>
    <row r="92" spans="1:10">
      <c r="A92" s="90"/>
      <c r="B92" s="92"/>
      <c r="C92" s="14"/>
      <c r="D92" s="11"/>
      <c r="E92" s="11"/>
      <c r="F92" s="12"/>
      <c r="G92" s="11"/>
      <c r="H92" s="14"/>
      <c r="I92" s="46"/>
      <c r="J92" s="33"/>
    </row>
    <row r="93" spans="1:10">
      <c r="A93" s="90"/>
      <c r="B93" s="92"/>
      <c r="C93" s="14"/>
      <c r="D93" s="11"/>
      <c r="E93" s="11"/>
      <c r="F93" s="12"/>
      <c r="G93" s="11">
        <f t="shared" si="13"/>
        <v>0</v>
      </c>
      <c r="H93" s="14"/>
      <c r="I93" s="46"/>
      <c r="J93" s="33"/>
    </row>
    <row r="94" spans="1:10">
      <c r="A94" s="90"/>
      <c r="B94" s="93" t="s">
        <v>87</v>
      </c>
      <c r="C94" s="93"/>
      <c r="D94" s="93"/>
      <c r="E94" s="93"/>
      <c r="F94" s="93"/>
      <c r="G94" s="57">
        <f>SUM(G89:G90)</f>
        <v>0</v>
      </c>
      <c r="H94" s="29"/>
      <c r="I94" s="46" t="str">
        <f>IF(G94=0,"",IF(G94&lt;=500000,"填寫完畢",IF(G94&gt;500000,"設備費合計超過上限50萬")))</f>
        <v/>
      </c>
      <c r="J94" s="33"/>
    </row>
    <row r="95" spans="1:10">
      <c r="A95" s="90"/>
      <c r="B95" s="94" t="s">
        <v>88</v>
      </c>
      <c r="C95" s="94"/>
      <c r="D95" s="94"/>
      <c r="E95" s="94"/>
      <c r="F95" s="93"/>
      <c r="G95" s="57">
        <f>SUM(G91:G93)</f>
        <v>0</v>
      </c>
      <c r="H95" s="29"/>
      <c r="I95" s="45"/>
      <c r="J95" s="33"/>
    </row>
    <row r="96" spans="1:10" ht="31.5" customHeight="1">
      <c r="A96" s="85" t="s">
        <v>102</v>
      </c>
      <c r="B96" s="85"/>
      <c r="C96" s="85"/>
      <c r="D96" s="85"/>
      <c r="E96" s="85"/>
      <c r="F96" s="87">
        <f>G40+G87+G94</f>
        <v>426848</v>
      </c>
      <c r="G96" s="87"/>
      <c r="H96" s="29" t="s">
        <v>113</v>
      </c>
      <c r="I96" s="45" t="str">
        <f>IF(F96=0,"",IF(OR(AND(F3="A",F96&gt;2500000),(AND(F3="B",F96&gt;4500000))),"補助經費超過所申請類別之上限","填寫完畢"))</f>
        <v>填寫完畢</v>
      </c>
      <c r="J96" s="33"/>
    </row>
    <row r="97" spans="1:10" ht="31.5">
      <c r="A97" s="91" t="s">
        <v>101</v>
      </c>
      <c r="B97" s="91"/>
      <c r="C97" s="91"/>
      <c r="D97" s="91"/>
      <c r="E97" s="91"/>
      <c r="F97" s="87">
        <f>G41+G88+G95</f>
        <v>0</v>
      </c>
      <c r="G97" s="87"/>
      <c r="H97" s="29" t="s">
        <v>89</v>
      </c>
      <c r="I97" s="45" t="str">
        <f>IF(F97=0,"",IF(F97&lt;&gt;F96*0.1,"自籌款不等於補助款之10%","填寫完畢"))</f>
        <v/>
      </c>
      <c r="J97" s="33"/>
    </row>
    <row r="98" spans="1:10" ht="16.5" customHeight="1">
      <c r="A98" s="85" t="s">
        <v>104</v>
      </c>
      <c r="B98" s="85"/>
      <c r="C98" s="85"/>
      <c r="D98" s="85"/>
      <c r="E98" s="85"/>
      <c r="F98" s="87">
        <f>F96+F97</f>
        <v>426848</v>
      </c>
      <c r="G98" s="87"/>
      <c r="H98" s="29"/>
      <c r="I98" s="45"/>
      <c r="J98" s="33"/>
    </row>
    <row r="99" spans="1:10" ht="16.5" customHeight="1">
      <c r="A99" s="85" t="s">
        <v>103</v>
      </c>
      <c r="B99" s="85"/>
      <c r="C99" s="85"/>
      <c r="D99" s="85"/>
      <c r="E99" s="85"/>
      <c r="F99" s="88">
        <f>F96/F98</f>
        <v>1</v>
      </c>
      <c r="G99" s="88"/>
      <c r="H99" s="30"/>
      <c r="I99" s="47" t="str">
        <f>IF(F96/F98&lt;&gt;90.91%,"請檢查自籌款合計數","填寫完畢")</f>
        <v>請檢查自籌款合計數</v>
      </c>
      <c r="J99" s="35"/>
    </row>
    <row r="100" spans="1:10">
      <c r="I100" s="36"/>
    </row>
    <row r="102" spans="1:10">
      <c r="I102" s="49"/>
      <c r="J102" s="35"/>
    </row>
    <row r="103" spans="1:10">
      <c r="I103" s="50"/>
      <c r="J103" s="35"/>
    </row>
    <row r="107" spans="1:10">
      <c r="B107" s="1"/>
      <c r="C107" s="1"/>
      <c r="D107" s="2"/>
      <c r="E107" s="3"/>
      <c r="F107" s="3"/>
      <c r="G107" s="4"/>
      <c r="H107" s="3"/>
      <c r="I107" s="3"/>
    </row>
  </sheetData>
  <sheetProtection algorithmName="SHA-512" hashValue="m/FBimG6MzrViXffXFdB9B5tsjqhoZeZ01aGfDbkyBpInl4RwTAeHzcDFzNWqf+U36TNU1F5xu+ULUVagJhdYQ==" saltValue="zh7XPiOs4FlPEHxK9PaCVw==" spinCount="100000" sheet="1" formatCells="0" formatColumns="0" formatRows="0" insertColumns="0" insertRows="0" insertHyperlinks="0" deleteColumns="0" deleteRows="0" sort="0" autoFilter="0" pivotTables="0"/>
  <mergeCells count="70">
    <mergeCell ref="B54:B57"/>
    <mergeCell ref="H56:H57"/>
    <mergeCell ref="A2:G2"/>
    <mergeCell ref="D8:H8"/>
    <mergeCell ref="I8:I9"/>
    <mergeCell ref="A8:C9"/>
    <mergeCell ref="B10:B11"/>
    <mergeCell ref="A3:E3"/>
    <mergeCell ref="A4:E4"/>
    <mergeCell ref="A5:G5"/>
    <mergeCell ref="A6:H6"/>
    <mergeCell ref="A7:H7"/>
    <mergeCell ref="B12:B13"/>
    <mergeCell ref="B16:B21"/>
    <mergeCell ref="H17:H19"/>
    <mergeCell ref="B22:B27"/>
    <mergeCell ref="H23:H25"/>
    <mergeCell ref="B14:B15"/>
    <mergeCell ref="H45:H47"/>
    <mergeCell ref="B28:B31"/>
    <mergeCell ref="H30:H31"/>
    <mergeCell ref="B32:B37"/>
    <mergeCell ref="H36:H37"/>
    <mergeCell ref="B38:B39"/>
    <mergeCell ref="B40:F40"/>
    <mergeCell ref="B53:C53"/>
    <mergeCell ref="B41:F41"/>
    <mergeCell ref="B42:C42"/>
    <mergeCell ref="B43:B44"/>
    <mergeCell ref="B45:B47"/>
    <mergeCell ref="B48:C48"/>
    <mergeCell ref="B49:C49"/>
    <mergeCell ref="B50:C50"/>
    <mergeCell ref="B51:C51"/>
    <mergeCell ref="B52:C52"/>
    <mergeCell ref="H74:H80"/>
    <mergeCell ref="B58:C58"/>
    <mergeCell ref="B59:C59"/>
    <mergeCell ref="B60:C60"/>
    <mergeCell ref="B61:B62"/>
    <mergeCell ref="H61:H62"/>
    <mergeCell ref="B63:B65"/>
    <mergeCell ref="H63:H69"/>
    <mergeCell ref="B66:B69"/>
    <mergeCell ref="B70:C70"/>
    <mergeCell ref="B71:C71"/>
    <mergeCell ref="B72:C72"/>
    <mergeCell ref="B73:C73"/>
    <mergeCell ref="B74:B80"/>
    <mergeCell ref="B83:C83"/>
    <mergeCell ref="B84:B86"/>
    <mergeCell ref="B87:F87"/>
    <mergeCell ref="B88:F88"/>
    <mergeCell ref="B89:C89"/>
    <mergeCell ref="A99:E99"/>
    <mergeCell ref="A1:H1"/>
    <mergeCell ref="F98:G98"/>
    <mergeCell ref="F99:G99"/>
    <mergeCell ref="A10:A41"/>
    <mergeCell ref="A42:A88"/>
    <mergeCell ref="A89:A95"/>
    <mergeCell ref="A96:E96"/>
    <mergeCell ref="A97:E97"/>
    <mergeCell ref="A98:E98"/>
    <mergeCell ref="B91:B93"/>
    <mergeCell ref="B94:F94"/>
    <mergeCell ref="B95:F95"/>
    <mergeCell ref="F96:G96"/>
    <mergeCell ref="F97:G97"/>
    <mergeCell ref="B90:C90"/>
  </mergeCells>
  <phoneticPr fontId="9" type="noConversion"/>
  <conditionalFormatting sqref="I10:I13 I16:I53 I58:I99">
    <cfRule type="containsText" dxfId="3" priority="5" operator="containsText" text="填寫完畢">
      <formula>NOT(ISERROR(SEARCH("填寫完畢",I10)))</formula>
    </cfRule>
  </conditionalFormatting>
  <conditionalFormatting sqref="I103">
    <cfRule type="containsText" dxfId="2" priority="4" operator="containsText" text="填寫完畢">
      <formula>NOT(ISERROR(SEARCH("填寫完畢",I103)))</formula>
    </cfRule>
  </conditionalFormatting>
  <conditionalFormatting sqref="I14:I15">
    <cfRule type="containsText" dxfId="1" priority="3" operator="containsText" text="填寫完畢">
      <formula>NOT(ISERROR(SEARCH("填寫完畢",I14)))</formula>
    </cfRule>
  </conditionalFormatting>
  <conditionalFormatting sqref="I54:I57">
    <cfRule type="containsText" dxfId="0" priority="1" operator="containsText" text="填寫完畢">
      <formula>NOT(ISERROR(SEARCH("填寫完畢",I54)))</formula>
    </cfRule>
  </conditionalFormatting>
  <dataValidations count="2">
    <dataValidation type="whole" allowBlank="1" showInputMessage="1" showErrorMessage="1" promptTitle="【注意】" prompt="資料蒐集費編列上限為30,000元" sqref="G59">
      <formula1>0</formula1>
      <formula2>30000</formula2>
    </dataValidation>
    <dataValidation allowBlank="1" errorTitle="薪資範圍" error="計畫主持人每人每月以 5000元至8000 元為限" promptTitle="薪資範圍" prompt="計畫主持人每人每月以 5000元至8000 元為限" sqref="D10"/>
  </dataValidations>
  <pageMargins left="0.19685039370078741" right="0.19685039370078741" top="0.39370078740157483" bottom="0.59055118110236227" header="0" footer="0.31496062992125984"/>
  <pageSetup paperSize="9" fitToHeight="0" orientation="portrait" r:id="rId1"/>
  <headerFooter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109-2 經費申請表</vt:lpstr>
      <vt:lpstr>'109-2 經費申請表'!Print_Area</vt:lpstr>
      <vt:lpstr>'109-2 經費申請表'!Print_Titles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Xiang-Rong Liu</dc:creator>
  <cp:lastModifiedBy>Yi-Ning Liu</cp:lastModifiedBy>
  <dcterms:created xsi:type="dcterms:W3CDTF">2019-11-27T04:00:35Z</dcterms:created>
  <dcterms:modified xsi:type="dcterms:W3CDTF">2021-02-26T04:21:54Z</dcterms:modified>
</cp:coreProperties>
</file>